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9CEB74A4-A8AD-4E3C-BEC6-CB930A522E51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2_SOC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SPS2_SOC_High!$A$1:$K$2232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G2230" i="1" a="1"/>
  <c r="G2230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/>
  <c r="F1960" i="1" a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I786" i="1" s="1"/>
  <c r="I787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G274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F216" i="1"/>
  <c r="F212" i="1" s="1"/>
  <c r="G212" i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H398" i="1" s="1"/>
  <c r="H439" i="1" s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F384" i="1" s="1"/>
  <c r="F515" i="1" s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G364" i="1" s="1"/>
  <c r="F136" i="1"/>
  <c r="I135" i="1"/>
  <c r="H135" i="1"/>
  <c r="G135" i="1"/>
  <c r="F135" i="1"/>
  <c r="I134" i="1"/>
  <c r="I141" i="1" s="1" a="1"/>
  <c r="I141" i="1" s="1"/>
  <c r="H134" i="1"/>
  <c r="H141" i="1" s="1" a="1"/>
  <c r="H141" i="1" s="1"/>
  <c r="G134" i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H97" i="1"/>
  <c r="H129" i="1" s="1"/>
  <c r="G97" i="1"/>
  <c r="G129" i="1" s="1"/>
  <c r="F97" i="1"/>
  <c r="I96" i="1"/>
  <c r="I128" i="1" s="1"/>
  <c r="H96" i="1"/>
  <c r="H128" i="1" s="1"/>
  <c r="G96" i="1"/>
  <c r="G128" i="1" s="1"/>
  <c r="F96" i="1"/>
  <c r="F128" i="1" s="1"/>
  <c r="I95" i="1"/>
  <c r="H95" i="1"/>
  <c r="G95" i="1"/>
  <c r="F95" i="1"/>
  <c r="I94" i="1"/>
  <c r="H94" i="1"/>
  <c r="H126" i="1" s="1"/>
  <c r="G94" i="1"/>
  <c r="F94" i="1"/>
  <c r="F126" i="1" s="1"/>
  <c r="I93" i="1"/>
  <c r="I125" i="1" s="1"/>
  <c r="H93" i="1"/>
  <c r="G93" i="1"/>
  <c r="G125" i="1" s="1"/>
  <c r="F93" i="1"/>
  <c r="I92" i="1"/>
  <c r="I124" i="1" s="1"/>
  <c r="H92" i="1"/>
  <c r="G92" i="1"/>
  <c r="G124" i="1" s="1"/>
  <c r="F92" i="1"/>
  <c r="F124" i="1" s="1"/>
  <c r="I91" i="1"/>
  <c r="I319" i="1" s="1"/>
  <c r="H91" i="1"/>
  <c r="H123" i="1" s="1"/>
  <c r="G91" i="1"/>
  <c r="F91" i="1"/>
  <c r="F123" i="1" s="1"/>
  <c r="I90" i="1"/>
  <c r="I122" i="1" s="1"/>
  <c r="H90" i="1"/>
  <c r="H122" i="1" s="1"/>
  <c r="G90" i="1"/>
  <c r="G122" i="1" s="1"/>
  <c r="F90" i="1"/>
  <c r="F122" i="1" s="1"/>
  <c r="I89" i="1"/>
  <c r="H89" i="1"/>
  <c r="H121" i="1" s="1"/>
  <c r="G89" i="1"/>
  <c r="F89" i="1"/>
  <c r="F121" i="1" s="1"/>
  <c r="I88" i="1"/>
  <c r="I120" i="1" s="1"/>
  <c r="H88" i="1"/>
  <c r="H120" i="1" s="1"/>
  <c r="G88" i="1"/>
  <c r="G120" i="1" s="1"/>
  <c r="F88" i="1"/>
  <c r="I87" i="1"/>
  <c r="H87" i="1"/>
  <c r="H119" i="1" s="1"/>
  <c r="G87" i="1"/>
  <c r="F87" i="1"/>
  <c r="F119" i="1" s="1"/>
  <c r="I86" i="1"/>
  <c r="H86" i="1"/>
  <c r="H118" i="1" s="1"/>
  <c r="G86" i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F399" i="1" l="1"/>
  <c r="F519" i="1" s="1"/>
  <c r="F314" i="1"/>
  <c r="F419" i="1" s="1"/>
  <c r="H385" i="1"/>
  <c r="H516" i="1" s="1"/>
  <c r="I474" i="1"/>
  <c r="G380" i="1"/>
  <c r="G437" i="1" s="1"/>
  <c r="H325" i="1"/>
  <c r="H480" i="1" s="1"/>
  <c r="H300" i="1"/>
  <c r="H413" i="1" s="1"/>
  <c r="F241" i="1"/>
  <c r="I325" i="1"/>
  <c r="I480" i="1" s="1"/>
  <c r="G385" i="1"/>
  <c r="G516" i="1" s="1"/>
  <c r="G384" i="1"/>
  <c r="G515" i="1" s="1"/>
  <c r="F300" i="1"/>
  <c r="F413" i="1" s="1"/>
  <c r="G322" i="1"/>
  <c r="G477" i="1" s="1"/>
  <c r="I384" i="1"/>
  <c r="I515" i="1" s="1"/>
  <c r="H319" i="1"/>
  <c r="H474" i="1" s="1"/>
  <c r="H324" i="1"/>
  <c r="H479" i="1" s="1"/>
  <c r="G301" i="1"/>
  <c r="G465" i="1" s="1"/>
  <c r="F400" i="1"/>
  <c r="F520" i="1" s="1"/>
  <c r="F315" i="1"/>
  <c r="F420" i="1" s="1"/>
  <c r="G399" i="1"/>
  <c r="G519" i="1" s="1"/>
  <c r="I301" i="1"/>
  <c r="I465" i="1" s="1"/>
  <c r="H899" i="1"/>
  <c r="G320" i="1"/>
  <c r="G475" i="1" s="1"/>
  <c r="F385" i="1"/>
  <c r="F516" i="1" s="1"/>
  <c r="H400" i="1"/>
  <c r="H520" i="1" s="1"/>
  <c r="I323" i="1"/>
  <c r="I478" i="1" s="1"/>
  <c r="F325" i="1"/>
  <c r="F480" i="1" s="1"/>
  <c r="F361" i="1"/>
  <c r="F428" i="1" s="1"/>
  <c r="G319" i="1"/>
  <c r="G474" i="1" s="1"/>
  <c r="H386" i="1"/>
  <c r="H517" i="1" s="1"/>
  <c r="I903" i="1"/>
  <c r="G315" i="1"/>
  <c r="G420" i="1" s="1"/>
  <c r="I315" i="1"/>
  <c r="I420" i="1" s="1"/>
  <c r="F321" i="1"/>
  <c r="F476" i="1" s="1"/>
  <c r="F318" i="1"/>
  <c r="F473" i="1" s="1"/>
  <c r="H321" i="1"/>
  <c r="H476" i="1" s="1"/>
  <c r="H399" i="1"/>
  <c r="H519" i="1" s="1"/>
  <c r="I383" i="1"/>
  <c r="I514" i="1" s="1"/>
  <c r="H322" i="1"/>
  <c r="H477" i="1" s="1"/>
  <c r="H384" i="1"/>
  <c r="H515" i="1" s="1"/>
  <c r="H380" i="1"/>
  <c r="H437" i="1" s="1"/>
  <c r="F363" i="1"/>
  <c r="F504" i="1" s="1"/>
  <c r="H320" i="1"/>
  <c r="H475" i="1" s="1"/>
  <c r="F398" i="1"/>
  <c r="F439" i="1" s="1"/>
  <c r="G362" i="1"/>
  <c r="G429" i="1" s="1"/>
  <c r="G141" i="1" a="1"/>
  <c r="G141" i="1" s="1"/>
  <c r="I398" i="1"/>
  <c r="I439" i="1" s="1"/>
  <c r="F322" i="1"/>
  <c r="F477" i="1" s="1"/>
  <c r="H363" i="1"/>
  <c r="H504" i="1" s="1"/>
  <c r="F316" i="1"/>
  <c r="F471" i="1" s="1"/>
  <c r="F380" i="1"/>
  <c r="F437" i="1" s="1"/>
  <c r="I783" i="1"/>
  <c r="F129" i="1"/>
  <c r="G363" i="1"/>
  <c r="G504" i="1" s="1"/>
  <c r="I380" i="1"/>
  <c r="I437" i="1" s="1"/>
  <c r="I385" i="1"/>
  <c r="I516" i="1" s="1"/>
  <c r="I399" i="1"/>
  <c r="I519" i="1" s="1"/>
  <c r="H314" i="1"/>
  <c r="H419" i="1" s="1"/>
  <c r="G323" i="1"/>
  <c r="G478" i="1" s="1"/>
  <c r="G300" i="1"/>
  <c r="G413" i="1" s="1"/>
  <c r="G317" i="1"/>
  <c r="G472" i="1" s="1"/>
  <c r="I129" i="1"/>
  <c r="G386" i="1"/>
  <c r="G517" i="1" s="1"/>
  <c r="G400" i="1"/>
  <c r="G520" i="1" s="1"/>
  <c r="H315" i="1"/>
  <c r="H420" i="1" s="1"/>
  <c r="F364" i="1"/>
  <c r="I386" i="1"/>
  <c r="I517" i="1" s="1"/>
  <c r="I726" i="1" a="1"/>
  <c r="I726" i="1" s="1"/>
  <c r="I728" i="1" s="1" a="1"/>
  <c r="I728" i="1" s="1"/>
  <c r="F317" i="1"/>
  <c r="F472" i="1" s="1"/>
  <c r="I300" i="1"/>
  <c r="I413" i="1" s="1"/>
  <c r="I317" i="1"/>
  <c r="I472" i="1" s="1"/>
  <c r="I322" i="1"/>
  <c r="I477" i="1" s="1"/>
  <c r="F301" i="1"/>
  <c r="F465" i="1" s="1"/>
  <c r="F323" i="1"/>
  <c r="F478" i="1" s="1"/>
  <c r="F320" i="1"/>
  <c r="F475" i="1" s="1"/>
  <c r="H301" i="1"/>
  <c r="H465" i="1" s="1"/>
  <c r="H323" i="1"/>
  <c r="H478" i="1" s="1"/>
  <c r="I320" i="1"/>
  <c r="I475" i="1" s="1"/>
  <c r="I382" i="1"/>
  <c r="I513" i="1" s="1"/>
  <c r="G742" i="1" a="1"/>
  <c r="G742" i="1" s="1"/>
  <c r="G744" i="1" s="1" a="1"/>
  <c r="G744" i="1" s="1"/>
  <c r="F324" i="1"/>
  <c r="F479" i="1" s="1"/>
  <c r="H361" i="1"/>
  <c r="H428" i="1" s="1"/>
  <c r="G325" i="1"/>
  <c r="G480" i="1" s="1"/>
  <c r="G899" i="1"/>
  <c r="G314" i="1"/>
  <c r="G419" i="1" s="1"/>
  <c r="I899" i="1"/>
  <c r="I324" i="1"/>
  <c r="I479" i="1" s="1"/>
  <c r="G361" i="1"/>
  <c r="G428" i="1" s="1"/>
  <c r="F386" i="1"/>
  <c r="F517" i="1" s="1"/>
  <c r="G783" i="1"/>
  <c r="G786" i="1"/>
  <c r="G787" i="1" s="1"/>
  <c r="G383" i="1"/>
  <c r="G514" i="1" s="1"/>
  <c r="G925" i="1"/>
  <c r="G924" i="1" s="1"/>
  <c r="G903" i="1"/>
  <c r="G902" i="1"/>
  <c r="H317" i="1"/>
  <c r="H472" i="1" s="1"/>
  <c r="H241" i="1"/>
  <c r="H316" i="1" s="1"/>
  <c r="H471" i="1" s="1"/>
  <c r="F383" i="1"/>
  <c r="F514" i="1" s="1"/>
  <c r="I361" i="1"/>
  <c r="I428" i="1" s="1"/>
  <c r="H925" i="1"/>
  <c r="H924" i="1" s="1"/>
  <c r="H903" i="1"/>
  <c r="H783" i="1"/>
  <c r="H786" i="1"/>
  <c r="H787" i="1" s="1"/>
  <c r="F895" i="1"/>
  <c r="F903" i="1" s="1"/>
  <c r="F925" i="1"/>
  <c r="F924" i="1" s="1"/>
  <c r="F726" i="1" a="1"/>
  <c r="F726" i="1" s="1"/>
  <c r="F728" i="1" s="1" a="1"/>
  <c r="F728" i="1" s="1"/>
  <c r="F742" i="1" a="1"/>
  <c r="F742" i="1" s="1"/>
  <c r="F744" i="1" s="1" a="1"/>
  <c r="F744" i="1" s="1"/>
  <c r="H283" i="1"/>
  <c r="H382" i="1" s="1"/>
  <c r="H513" i="1" s="1"/>
  <c r="H383" i="1"/>
  <c r="H514" i="1" s="1"/>
  <c r="I364" i="1"/>
  <c r="I274" i="1"/>
  <c r="I363" i="1" s="1"/>
  <c r="I504" i="1" s="1"/>
  <c r="G382" i="1"/>
  <c r="G513" i="1" s="1"/>
  <c r="H364" i="1"/>
  <c r="F382" i="1"/>
  <c r="F513" i="1" s="1"/>
  <c r="F786" i="1"/>
  <c r="F787" i="1" s="1"/>
  <c r="F783" i="1"/>
  <c r="G118" i="1"/>
  <c r="G123" i="1"/>
  <c r="G241" i="1"/>
  <c r="G316" i="1" s="1"/>
  <c r="G471" i="1" s="1"/>
  <c r="G318" i="1"/>
  <c r="G473" i="1" s="1"/>
  <c r="I314" i="1"/>
  <c r="I419" i="1" s="1"/>
  <c r="I118" i="1"/>
  <c r="I123" i="1"/>
  <c r="H318" i="1"/>
  <c r="H473" i="1" s="1"/>
  <c r="F362" i="1"/>
  <c r="F429" i="1" s="1"/>
  <c r="I241" i="1"/>
  <c r="I316" i="1" s="1"/>
  <c r="I471" i="1" s="1"/>
  <c r="I318" i="1"/>
  <c r="I473" i="1" s="1"/>
  <c r="G119" i="1"/>
  <c r="G140" i="1" a="1"/>
  <c r="G140" i="1" s="1"/>
  <c r="I400" i="1"/>
  <c r="I520" i="1" s="1"/>
  <c r="F319" i="1"/>
  <c r="F474" i="1" s="1"/>
  <c r="G324" i="1"/>
  <c r="G479" i="1" s="1"/>
  <c r="H362" i="1"/>
  <c r="H429" i="1" s="1"/>
  <c r="H902" i="1"/>
  <c r="H124" i="1"/>
  <c r="I902" i="1"/>
  <c r="I119" i="1"/>
  <c r="F120" i="1"/>
  <c r="F125" i="1"/>
  <c r="H125" i="1"/>
  <c r="H742" i="1" a="1"/>
  <c r="H742" i="1" s="1"/>
  <c r="H744" i="1" s="1" a="1"/>
  <c r="H744" i="1" s="1"/>
  <c r="G321" i="1"/>
  <c r="G476" i="1" s="1"/>
  <c r="I742" i="1" a="1"/>
  <c r="I742" i="1" s="1"/>
  <c r="I744" i="1" s="1" a="1"/>
  <c r="I744" i="1" s="1"/>
  <c r="I321" i="1"/>
  <c r="I476" i="1" s="1"/>
  <c r="I925" i="1"/>
  <c r="I924" i="1" s="1"/>
  <c r="G121" i="1"/>
  <c r="G126" i="1"/>
  <c r="I121" i="1"/>
  <c r="I126" i="1"/>
  <c r="G726" i="1" a="1"/>
  <c r="G726" i="1" s="1"/>
  <c r="G728" i="1" s="1" a="1"/>
  <c r="G728" i="1" s="1"/>
  <c r="I362" i="1"/>
  <c r="I429" i="1" s="1"/>
  <c r="H726" i="1" a="1"/>
  <c r="H726" i="1" s="1"/>
  <c r="H728" i="1" s="1" a="1"/>
  <c r="H728" i="1" s="1"/>
  <c r="I310" i="1" l="1"/>
  <c r="I470" i="1"/>
  <c r="F899" i="1"/>
  <c r="F902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J1693" i="1" a="1"/>
  <c r="J1693" i="1" s="1"/>
  <c r="L1693" i="1" a="1"/>
  <c r="L1693" i="1" s="1"/>
  <c r="K1693" i="1" a="1"/>
  <c r="K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485" i="1" a="1"/>
  <c r="K1485" i="1" s="1"/>
  <c r="J1487" i="1" a="1"/>
  <c r="J1487" i="1" s="1"/>
  <c r="J1485" i="1" a="1"/>
  <c r="J1485" i="1" s="1"/>
  <c r="L1492" i="1" a="1"/>
  <c r="L1492" i="1" s="1"/>
  <c r="J1492" i="1" a="1"/>
  <c r="J1492" i="1" s="1"/>
  <c r="K1492" i="1" a="1"/>
  <c r="K1492" i="1" s="1"/>
  <c r="K1487" i="1" a="1"/>
  <c r="K1487" i="1" s="1"/>
  <c r="L1485" i="1" a="1"/>
  <c r="L1485" i="1" s="1"/>
  <c r="L1487" i="1" a="1"/>
  <c r="L1487" i="1" s="1"/>
  <c r="J1456" i="1" a="1"/>
  <c r="J1456" i="1" s="1"/>
  <c r="L1458" i="1" a="1"/>
  <c r="L1458" i="1" s="1"/>
  <c r="K1457" i="1" a="1"/>
  <c r="K1457" i="1" s="1"/>
  <c r="K1458" i="1" a="1"/>
  <c r="K1458" i="1" s="1"/>
  <c r="J1454" i="1" a="1"/>
  <c r="J1454" i="1" s="1"/>
  <c r="J1455" i="1" a="1"/>
  <c r="J1455" i="1" s="1"/>
  <c r="L1453" i="1" a="1"/>
  <c r="L1453" i="1" s="1"/>
  <c r="K1454" i="1" a="1"/>
  <c r="K1454" i="1" s="1"/>
  <c r="J1458" i="1" a="1"/>
  <c r="J1458" i="1" s="1"/>
  <c r="L1452" i="1" a="1"/>
  <c r="L1452" i="1" s="1"/>
  <c r="L1457" i="1" a="1"/>
  <c r="L1457" i="1" s="1"/>
  <c r="K1455" i="1" a="1"/>
  <c r="K1455" i="1" s="1"/>
  <c r="L1454" i="1" a="1"/>
  <c r="L1454" i="1" s="1"/>
  <c r="K1452" i="1" a="1"/>
  <c r="K1452" i="1" s="1"/>
  <c r="K1456" i="1" a="1"/>
  <c r="K1456" i="1" s="1"/>
  <c r="J1457" i="1" a="1"/>
  <c r="J1457" i="1" s="1"/>
  <c r="L1456" i="1" a="1"/>
  <c r="L1456" i="1" s="1"/>
  <c r="L1455" i="1" a="1"/>
  <c r="L1455" i="1" s="1"/>
  <c r="J1452" i="1" a="1"/>
  <c r="J1452" i="1" s="1"/>
  <c r="J1453" i="1" a="1"/>
  <c r="J1453" i="1" s="1"/>
  <c r="K1453" i="1" a="1"/>
  <c r="K1453" i="1" s="1"/>
  <c r="L1445" i="1" a="1"/>
  <c r="L1445" i="1" s="1"/>
  <c r="K1446" i="1" a="1"/>
  <c r="K1446" i="1" s="1"/>
  <c r="L1444" i="1" a="1"/>
  <c r="L1444" i="1" s="1"/>
  <c r="K1449" i="1" a="1"/>
  <c r="K1449" i="1" s="1"/>
  <c r="J1443" i="1" a="1"/>
  <c r="J1443" i="1" s="1"/>
  <c r="K1445" i="1" a="1"/>
  <c r="K1445" i="1" s="1"/>
  <c r="K1448" i="1" a="1"/>
  <c r="K1448" i="1" s="1"/>
  <c r="L1449" i="1" a="1"/>
  <c r="L1449" i="1" s="1"/>
  <c r="J1449" i="1" a="1"/>
  <c r="J1449" i="1" s="1"/>
  <c r="K1447" i="1" a="1"/>
  <c r="K1447" i="1" s="1"/>
  <c r="L1446" i="1" a="1"/>
  <c r="L1446" i="1" s="1"/>
  <c r="J1445" i="1" a="1"/>
  <c r="J1445" i="1" s="1"/>
  <c r="K1450" i="1" a="1"/>
  <c r="K1450" i="1" s="1"/>
  <c r="J1451" i="1" a="1"/>
  <c r="J1451" i="1" s="1"/>
  <c r="J1444" i="1" a="1"/>
  <c r="J1444" i="1" s="1"/>
  <c r="J1450" i="1" a="1"/>
  <c r="J1450" i="1" s="1"/>
  <c r="L1448" i="1" a="1"/>
  <c r="L1448" i="1" s="1"/>
  <c r="J1447" i="1" a="1"/>
  <c r="J1447" i="1" s="1"/>
  <c r="L1447" i="1" a="1"/>
  <c r="L1447" i="1" s="1"/>
  <c r="J1446" i="1" a="1"/>
  <c r="J1446" i="1" s="1"/>
  <c r="L1443" i="1" a="1"/>
  <c r="L1443" i="1" s="1"/>
  <c r="K1444" i="1" a="1"/>
  <c r="K1444" i="1" s="1"/>
  <c r="K1451" i="1" a="1"/>
  <c r="K1451" i="1" s="1"/>
  <c r="K1443" i="1" a="1"/>
  <c r="K1443" i="1" s="1"/>
  <c r="L1451" i="1" a="1"/>
  <c r="L1451" i="1" s="1"/>
  <c r="L1450" i="1" a="1"/>
  <c r="L1450" i="1" s="1"/>
  <c r="J1448" i="1" a="1"/>
  <c r="J1448" i="1" s="1"/>
  <c r="K1441" i="1" a="1"/>
  <c r="K1441" i="1" s="1"/>
  <c r="L1442" i="1" a="1"/>
  <c r="L1442" i="1" s="1"/>
  <c r="L1439" i="1" a="1"/>
  <c r="L1439" i="1" s="1"/>
  <c r="L1440" i="1" a="1"/>
  <c r="L1440" i="1" s="1"/>
  <c r="K1438" i="1" a="1"/>
  <c r="K1438" i="1" s="1"/>
  <c r="K1442" i="1" a="1"/>
  <c r="K1442" i="1" s="1"/>
  <c r="J1442" i="1" a="1"/>
  <c r="J1442" i="1" s="1"/>
  <c r="L1434" i="1" a="1"/>
  <c r="L1434" i="1" s="1"/>
  <c r="L1441" i="1" a="1"/>
  <c r="L1441" i="1" s="1"/>
  <c r="J1437" i="1" a="1"/>
  <c r="J1437" i="1" s="1"/>
  <c r="J1434" i="1" a="1"/>
  <c r="J1434" i="1" s="1"/>
  <c r="K1440" i="1" a="1"/>
  <c r="K1440" i="1" s="1"/>
  <c r="L1438" i="1" a="1"/>
  <c r="L1438" i="1" s="1"/>
  <c r="L1437" i="1" a="1"/>
  <c r="L1437" i="1" s="1"/>
  <c r="J1441" i="1" a="1"/>
  <c r="J1441" i="1" s="1"/>
  <c r="K1434" i="1" a="1"/>
  <c r="K1434" i="1" s="1"/>
  <c r="J1438" i="1" a="1"/>
  <c r="J1438" i="1" s="1"/>
  <c r="K1436" i="1" a="1"/>
  <c r="K1436" i="1" s="1"/>
  <c r="L1436" i="1" a="1"/>
  <c r="L1436" i="1" s="1"/>
  <c r="K1437" i="1" a="1"/>
  <c r="K1437" i="1" s="1"/>
  <c r="J1436" i="1" a="1"/>
  <c r="J1436" i="1" s="1"/>
  <c r="J1440" i="1" a="1"/>
  <c r="J1440" i="1" s="1"/>
  <c r="K1439" i="1" a="1"/>
  <c r="K1439" i="1" s="1"/>
  <c r="J1439" i="1" a="1"/>
  <c r="J1439" i="1" s="1"/>
  <c r="L1432" i="1" a="1"/>
  <c r="L1432" i="1" s="1"/>
  <c r="L1424" i="1" a="1"/>
  <c r="L1424" i="1" s="1"/>
  <c r="K1431" i="1" a="1"/>
  <c r="K1431" i="1" s="1"/>
  <c r="J1430" i="1" a="1"/>
  <c r="J1430" i="1" s="1"/>
  <c r="J1433" i="1" a="1"/>
  <c r="J1433" i="1" s="1"/>
  <c r="J1431" i="1" a="1"/>
  <c r="J1431" i="1" s="1"/>
  <c r="L1423" i="1" a="1"/>
  <c r="L1423" i="1" s="1"/>
  <c r="K1432" i="1" a="1"/>
  <c r="K1432" i="1" s="1"/>
  <c r="K1430" i="1" a="1"/>
  <c r="K1430" i="1" s="1"/>
  <c r="J1432" i="1" a="1"/>
  <c r="J1432" i="1" s="1"/>
  <c r="J1424" i="1" a="1"/>
  <c r="J1424" i="1" s="1"/>
  <c r="L1431" i="1" a="1"/>
  <c r="L1431" i="1" s="1"/>
  <c r="L1430" i="1" a="1"/>
  <c r="L1430" i="1" s="1"/>
  <c r="J1423" i="1" a="1"/>
  <c r="J1423" i="1" s="1"/>
  <c r="K1424" i="1" a="1"/>
  <c r="K1424" i="1" s="1"/>
  <c r="K1423" i="1" a="1"/>
  <c r="K1423" i="1" s="1"/>
  <c r="L1433" i="1" a="1"/>
  <c r="L1433" i="1" s="1"/>
  <c r="K1433" i="1" a="1"/>
  <c r="K1433" i="1" s="1"/>
  <c r="K1417" i="1" a="1"/>
  <c r="K1417" i="1" s="1"/>
  <c r="J1417" i="1" a="1"/>
  <c r="J1417" i="1" s="1"/>
  <c r="J1416" i="1" a="1"/>
  <c r="J1416" i="1" s="1"/>
  <c r="K1421" i="1" a="1"/>
  <c r="K1421" i="1" s="1"/>
  <c r="K1420" i="1" a="1"/>
  <c r="K1420" i="1" s="1"/>
  <c r="L1418" i="1" a="1"/>
  <c r="L1418" i="1" s="1"/>
  <c r="K1416" i="1" a="1"/>
  <c r="K1416" i="1" s="1"/>
  <c r="L1417" i="1" a="1"/>
  <c r="L1417" i="1" s="1"/>
  <c r="K1419" i="1" a="1"/>
  <c r="K1419" i="1" s="1"/>
  <c r="L1422" i="1" a="1"/>
  <c r="L1422" i="1" s="1"/>
  <c r="K1422" i="1" a="1"/>
  <c r="K1422" i="1" s="1"/>
  <c r="L1420" i="1" a="1"/>
  <c r="L1420" i="1" s="1"/>
  <c r="L1416" i="1" a="1"/>
  <c r="L1416" i="1" s="1"/>
  <c r="J1422" i="1" a="1"/>
  <c r="J1422" i="1" s="1"/>
  <c r="J1421" i="1" a="1"/>
  <c r="J1421" i="1" s="1"/>
  <c r="L1419" i="1" a="1"/>
  <c r="L1419" i="1" s="1"/>
  <c r="J1418" i="1" a="1"/>
  <c r="J1418" i="1" s="1"/>
  <c r="L1421" i="1" a="1"/>
  <c r="L1421" i="1" s="1"/>
  <c r="J1420" i="1" a="1"/>
  <c r="J1420" i="1" s="1"/>
  <c r="J1419" i="1" a="1"/>
  <c r="J1419" i="1" s="1"/>
  <c r="K1418" i="1" a="1"/>
  <c r="K1418" i="1" s="1"/>
  <c r="K1410" i="1" a="1"/>
  <c r="K1410" i="1" s="1"/>
  <c r="L1403" i="1" a="1"/>
  <c r="L1403" i="1" s="1"/>
  <c r="L1410" i="1" a="1"/>
  <c r="L1410" i="1" s="1"/>
  <c r="J1410" i="1" a="1"/>
  <c r="J1410" i="1" s="1"/>
  <c r="J1409" i="1" a="1"/>
  <c r="J1409" i="1" s="1"/>
  <c r="L1405" i="1" a="1"/>
  <c r="L1405" i="1" s="1"/>
  <c r="L1408" i="1" a="1"/>
  <c r="L1408" i="1" s="1"/>
  <c r="L1404" i="1" a="1"/>
  <c r="L1404" i="1" s="1"/>
  <c r="K1404" i="1" a="1"/>
  <c r="K1404" i="1" s="1"/>
  <c r="K1402" i="1" a="1"/>
  <c r="K1402" i="1" s="1"/>
  <c r="J1402" i="1" a="1"/>
  <c r="J1402" i="1" s="1"/>
  <c r="J1408" i="1" a="1"/>
  <c r="J1408" i="1" s="1"/>
  <c r="J1405" i="1" a="1"/>
  <c r="J1405" i="1" s="1"/>
  <c r="K1407" i="1" a="1"/>
  <c r="K1407" i="1" s="1"/>
  <c r="L1407" i="1" a="1"/>
  <c r="L1407" i="1" s="1"/>
  <c r="J1407" i="1" a="1"/>
  <c r="J1407" i="1" s="1"/>
  <c r="K1405" i="1" a="1"/>
  <c r="K1405" i="1" s="1"/>
  <c r="K1409" i="1" a="1"/>
  <c r="K1409" i="1" s="1"/>
  <c r="K1403" i="1" a="1"/>
  <c r="K1403" i="1" s="1"/>
  <c r="J1404" i="1" a="1"/>
  <c r="J1404" i="1" s="1"/>
  <c r="L1409" i="1" a="1"/>
  <c r="L1409" i="1" s="1"/>
  <c r="J1403" i="1" a="1"/>
  <c r="J1403" i="1" s="1"/>
  <c r="L1402" i="1" a="1"/>
  <c r="L1402" i="1" s="1"/>
  <c r="K1408" i="1" a="1"/>
  <c r="K1408" i="1" s="1"/>
  <c r="L1401" i="1" a="1"/>
  <c r="L1401" i="1" s="1"/>
  <c r="K1401" i="1" a="1"/>
  <c r="K1401" i="1" s="1"/>
  <c r="J1401" i="1" a="1"/>
  <c r="J1401" i="1" s="1"/>
  <c r="L1372" i="1" a="1"/>
  <c r="L1372" i="1" s="1"/>
  <c r="L1373" i="1" a="1"/>
  <c r="L1373" i="1" s="1"/>
  <c r="L1374" i="1" a="1"/>
  <c r="L1374" i="1" s="1"/>
  <c r="K1374" i="1" a="1"/>
  <c r="K1374" i="1" s="1"/>
  <c r="J1373" i="1" a="1"/>
  <c r="J1373" i="1" s="1"/>
  <c r="K1372" i="1" a="1"/>
  <c r="K1372" i="1" s="1"/>
  <c r="J1374" i="1" a="1"/>
  <c r="J1374" i="1" s="1"/>
  <c r="J1372" i="1" a="1"/>
  <c r="J1372" i="1" s="1"/>
  <c r="K1373" i="1" a="1"/>
  <c r="K1373" i="1" s="1"/>
  <c r="J1369" i="1" a="1"/>
  <c r="J1369" i="1" s="1"/>
  <c r="L1371" i="1" a="1"/>
  <c r="L1371" i="1" s="1"/>
  <c r="K1369" i="1" a="1"/>
  <c r="K1369" i="1" s="1"/>
  <c r="J1370" i="1" a="1"/>
  <c r="J1370" i="1" s="1"/>
  <c r="L1369" i="1" a="1"/>
  <c r="L1369" i="1" s="1"/>
  <c r="J1368" i="1" a="1"/>
  <c r="J1368" i="1" s="1"/>
  <c r="K1368" i="1" a="1"/>
  <c r="K1368" i="1" s="1"/>
  <c r="K1371" i="1" a="1"/>
  <c r="K1371" i="1" s="1"/>
  <c r="K1370" i="1" a="1"/>
  <c r="K1370" i="1" s="1"/>
  <c r="J1371" i="1" a="1"/>
  <c r="J1371" i="1" s="1"/>
  <c r="L1368" i="1" a="1"/>
  <c r="L1368" i="1" s="1"/>
  <c r="L1370" i="1" a="1"/>
  <c r="L1370" i="1" s="1"/>
  <c r="K1363" i="1" a="1"/>
  <c r="K1363" i="1" s="1"/>
  <c r="J1365" i="1" a="1"/>
  <c r="J1365" i="1" s="1"/>
  <c r="L1365" i="1" a="1"/>
  <c r="L1365" i="1" s="1"/>
  <c r="L1367" i="1" a="1"/>
  <c r="L1367" i="1" s="1"/>
  <c r="K1367" i="1" a="1"/>
  <c r="K1367" i="1" s="1"/>
  <c r="J1367" i="1" a="1"/>
  <c r="J1367" i="1" s="1"/>
  <c r="J1366" i="1" a="1"/>
  <c r="J1366" i="1" s="1"/>
  <c r="L1364" i="1" a="1"/>
  <c r="L1364" i="1" s="1"/>
  <c r="J1364" i="1" a="1"/>
  <c r="J1364" i="1" s="1"/>
  <c r="L1363" i="1" a="1"/>
  <c r="L1363" i="1" s="1"/>
  <c r="L1366" i="1" a="1"/>
  <c r="L1366" i="1" s="1"/>
  <c r="K1366" i="1" a="1"/>
  <c r="K1366" i="1" s="1"/>
  <c r="K1365" i="1" a="1"/>
  <c r="K1365" i="1" s="1"/>
  <c r="K1364" i="1" a="1"/>
  <c r="K1364" i="1" s="1"/>
  <c r="L1359" i="1" a="1"/>
  <c r="L1359" i="1" s="1"/>
  <c r="J1357" i="1" a="1"/>
  <c r="J1357" i="1" s="1"/>
  <c r="L1356" i="1" a="1"/>
  <c r="L1356" i="1" s="1"/>
  <c r="L1362" i="1" a="1"/>
  <c r="L1362" i="1" s="1"/>
  <c r="K1359" i="1" a="1"/>
  <c r="K1359" i="1" s="1"/>
  <c r="K1356" i="1" a="1"/>
  <c r="K1356" i="1" s="1"/>
  <c r="K1360" i="1" a="1"/>
  <c r="K1360" i="1" s="1"/>
  <c r="L1358" i="1" a="1"/>
  <c r="L1358" i="1" s="1"/>
  <c r="L1361" i="1" a="1"/>
  <c r="L1361" i="1" s="1"/>
  <c r="K1361" i="1" a="1"/>
  <c r="K1361" i="1" s="1"/>
  <c r="J1360" i="1" a="1"/>
  <c r="J1360" i="1" s="1"/>
  <c r="L1357" i="1" a="1"/>
  <c r="L1357" i="1" s="1"/>
  <c r="K1362" i="1" a="1"/>
  <c r="K1362" i="1" s="1"/>
  <c r="L1360" i="1" a="1"/>
  <c r="L1360" i="1" s="1"/>
  <c r="J1359" i="1" a="1"/>
  <c r="J1359" i="1" s="1"/>
  <c r="J1356" i="1" a="1"/>
  <c r="J1356" i="1" s="1"/>
  <c r="K1358" i="1" a="1"/>
  <c r="K1358" i="1" s="1"/>
  <c r="J1358" i="1" a="1"/>
  <c r="J1358" i="1" s="1"/>
  <c r="J1363" i="1" a="1"/>
  <c r="J1363" i="1" s="1"/>
  <c r="J1362" i="1" a="1"/>
  <c r="J1362" i="1" s="1"/>
  <c r="J1361" i="1" a="1"/>
  <c r="J1361" i="1" s="1"/>
  <c r="K1357" i="1" a="1"/>
  <c r="K1357" i="1" s="1"/>
  <c r="K1355" i="1" a="1"/>
  <c r="K1355" i="1" s="1"/>
  <c r="J1355" i="1" a="1"/>
  <c r="J1355" i="1" s="1"/>
  <c r="K1353" i="1" a="1"/>
  <c r="K1353" i="1" s="1"/>
  <c r="K1349" i="1" a="1"/>
  <c r="K1349" i="1" s="1"/>
  <c r="K1347" i="1" a="1"/>
  <c r="K1347" i="1" s="1"/>
  <c r="L1354" i="1" a="1"/>
  <c r="L1354" i="1" s="1"/>
  <c r="K1354" i="1" a="1"/>
  <c r="K1354" i="1" s="1"/>
  <c r="J1354" i="1" a="1"/>
  <c r="J1354" i="1" s="1"/>
  <c r="L1350" i="1" a="1"/>
  <c r="L1350" i="1" s="1"/>
  <c r="J1350" i="1" a="1"/>
  <c r="J1350" i="1" s="1"/>
  <c r="L1348" i="1" a="1"/>
  <c r="L1348" i="1" s="1"/>
  <c r="J1348" i="1" a="1"/>
  <c r="J1348" i="1" s="1"/>
  <c r="L1353" i="1" a="1"/>
  <c r="L1353" i="1" s="1"/>
  <c r="L1349" i="1" a="1"/>
  <c r="L1349" i="1" s="1"/>
  <c r="L1347" i="1" a="1"/>
  <c r="L1347" i="1" s="1"/>
  <c r="J1347" i="1" a="1"/>
  <c r="J1347" i="1" s="1"/>
  <c r="L1352" i="1" a="1"/>
  <c r="L1352" i="1" s="1"/>
  <c r="K1352" i="1" a="1"/>
  <c r="K1352" i="1" s="1"/>
  <c r="J1349" i="1" a="1"/>
  <c r="J1349" i="1" s="1"/>
  <c r="K1348" i="1" a="1"/>
  <c r="K1348" i="1" s="1"/>
  <c r="J1352" i="1" a="1"/>
  <c r="J1352" i="1" s="1"/>
  <c r="K1350" i="1" a="1"/>
  <c r="K1350" i="1" s="1"/>
  <c r="J1353" i="1" a="1"/>
  <c r="J1353" i="1" s="1"/>
  <c r="L1355" i="1" a="1"/>
  <c r="L1355" i="1" s="1"/>
  <c r="K1340" i="1" a="1"/>
  <c r="K1340" i="1" s="1"/>
  <c r="K1338" i="1" a="1"/>
  <c r="K1338" i="1" s="1"/>
  <c r="K1337" i="1" a="1"/>
  <c r="K1337" i="1" s="1"/>
  <c r="J1338" i="1" a="1"/>
  <c r="J1338" i="1" s="1"/>
  <c r="J1339" i="1" a="1"/>
  <c r="J1339" i="1" s="1"/>
  <c r="L1346" i="1" a="1"/>
  <c r="L1346" i="1" s="1"/>
  <c r="K1346" i="1" a="1"/>
  <c r="K1346" i="1" s="1"/>
  <c r="J1337" i="1" a="1"/>
  <c r="J1337" i="1" s="1"/>
  <c r="L1339" i="1" a="1"/>
  <c r="L1339" i="1" s="1"/>
  <c r="J1340" i="1" a="1"/>
  <c r="J1340" i="1" s="1"/>
  <c r="L1338" i="1" a="1"/>
  <c r="L1338" i="1" s="1"/>
  <c r="L1340" i="1" a="1"/>
  <c r="L1340" i="1" s="1"/>
  <c r="L1337" i="1" a="1"/>
  <c r="L1337" i="1" s="1"/>
  <c r="K1339" i="1" a="1"/>
  <c r="K1339" i="1" s="1"/>
  <c r="J1346" i="1" a="1"/>
  <c r="J1346" i="1" s="1"/>
  <c r="J1333" i="1" a="1"/>
  <c r="J1333" i="1" s="1"/>
  <c r="L1334" i="1" a="1"/>
  <c r="L1334" i="1" s="1"/>
  <c r="L1336" i="1" a="1"/>
  <c r="L1336" i="1" s="1"/>
  <c r="L1335" i="1" a="1"/>
  <c r="L1335" i="1" s="1"/>
  <c r="K1336" i="1" a="1"/>
  <c r="K1336" i="1" s="1"/>
  <c r="J1336" i="1" a="1"/>
  <c r="J1336" i="1" s="1"/>
  <c r="J1335" i="1" a="1"/>
  <c r="J1335" i="1" s="1"/>
  <c r="L1332" i="1" a="1"/>
  <c r="L1332" i="1" s="1"/>
  <c r="J1332" i="1" a="1"/>
  <c r="J1332" i="1" s="1"/>
  <c r="L1333" i="1" a="1"/>
  <c r="L1333" i="1" s="1"/>
  <c r="K1333" i="1" a="1"/>
  <c r="K1333" i="1" s="1"/>
  <c r="K1332" i="1" a="1"/>
  <c r="K1332" i="1" s="1"/>
  <c r="K1335" i="1" a="1"/>
  <c r="K1335" i="1" s="1"/>
  <c r="K1334" i="1" a="1"/>
  <c r="K1334" i="1" s="1"/>
  <c r="J1334" i="1" a="1"/>
  <c r="J1334" i="1" s="1"/>
  <c r="L1325" i="1" a="1"/>
  <c r="L1325" i="1" s="1"/>
  <c r="K1321" i="1" a="1"/>
  <c r="K1321" i="1" s="1"/>
  <c r="K1325" i="1" a="1"/>
  <c r="K1325" i="1" s="1"/>
  <c r="L1320" i="1" a="1"/>
  <c r="L1320" i="1" s="1"/>
  <c r="J1325" i="1" a="1"/>
  <c r="J1325" i="1" s="1"/>
  <c r="K1323" i="1" a="1"/>
  <c r="K1323" i="1" s="1"/>
  <c r="K1324" i="1" a="1"/>
  <c r="K1324" i="1" s="1"/>
  <c r="J1324" i="1" a="1"/>
  <c r="J1324" i="1" s="1"/>
  <c r="L1321" i="1" a="1"/>
  <c r="L1321" i="1" s="1"/>
  <c r="J1321" i="1" a="1"/>
  <c r="J1321" i="1" s="1"/>
  <c r="K1320" i="1" a="1"/>
  <c r="K1320" i="1" s="1"/>
  <c r="L1324" i="1" a="1"/>
  <c r="L1324" i="1" s="1"/>
  <c r="J1323" i="1" a="1"/>
  <c r="J1323" i="1" s="1"/>
  <c r="J1320" i="1" a="1"/>
  <c r="J1320" i="1" s="1"/>
  <c r="L1326" i="1" a="1"/>
  <c r="L1326" i="1" s="1"/>
  <c r="K1326" i="1" a="1"/>
  <c r="K1326" i="1" s="1"/>
  <c r="L1323" i="1" a="1"/>
  <c r="L1323" i="1" s="1"/>
  <c r="J1326" i="1" a="1"/>
  <c r="J1326" i="1" s="1"/>
  <c r="J1318" i="1" a="1"/>
  <c r="J1318" i="1" s="1"/>
  <c r="K1319" i="1" a="1"/>
  <c r="K1319" i="1" s="1"/>
  <c r="L1319" i="1" a="1"/>
  <c r="L1319" i="1" s="1"/>
  <c r="K1318" i="1" a="1"/>
  <c r="K1318" i="1" s="1"/>
  <c r="J1319" i="1" a="1"/>
  <c r="J1319" i="1" s="1"/>
  <c r="L1318" i="1" a="1"/>
  <c r="L1318" i="1" s="1"/>
  <c r="L1317" i="1" a="1"/>
  <c r="L1317" i="1" s="1"/>
  <c r="J1317" i="1" a="1"/>
  <c r="J1317" i="1" s="1"/>
  <c r="K1317" i="1" a="1"/>
  <c r="K1317" i="1" s="1"/>
  <c r="K1262" i="1" a="1"/>
  <c r="K1262" i="1" s="1"/>
  <c r="L1261" i="1" a="1"/>
  <c r="L1261" i="1" s="1"/>
  <c r="K1261" i="1" a="1"/>
  <c r="K1261" i="1" s="1"/>
  <c r="J1262" i="1" a="1"/>
  <c r="J1262" i="1" s="1"/>
  <c r="L1262" i="1" a="1"/>
  <c r="L1262" i="1" s="1"/>
  <c r="K1260" i="1" a="1"/>
  <c r="K1260" i="1" s="1"/>
  <c r="L1263" i="1" a="1"/>
  <c r="L1263" i="1" s="1"/>
  <c r="J1263" i="1" a="1"/>
  <c r="J1263" i="1" s="1"/>
  <c r="K1263" i="1" a="1"/>
  <c r="K1263" i="1" s="1"/>
  <c r="L1260" i="1" a="1"/>
  <c r="L1260" i="1" s="1"/>
  <c r="J1261" i="1" a="1"/>
  <c r="J1261" i="1" s="1"/>
  <c r="J1260" i="1" a="1"/>
  <c r="J1260" i="1" s="1"/>
  <c r="J1256" i="1" a="1"/>
  <c r="J1256" i="1" s="1"/>
  <c r="J1255" i="1" a="1"/>
  <c r="J1255" i="1" s="1"/>
  <c r="L1258" i="1" a="1"/>
  <c r="L1258" i="1" s="1"/>
  <c r="K1258" i="1" a="1"/>
  <c r="K1258" i="1" s="1"/>
  <c r="J1258" i="1" a="1"/>
  <c r="J1258" i="1" s="1"/>
  <c r="K1255" i="1" a="1"/>
  <c r="K1255" i="1" s="1"/>
  <c r="K1256" i="1" a="1"/>
  <c r="K1256" i="1" s="1"/>
  <c r="K1259" i="1" a="1"/>
  <c r="K1259" i="1" s="1"/>
  <c r="J1259" i="1" a="1"/>
  <c r="J1259" i="1" s="1"/>
  <c r="K1257" i="1" a="1"/>
  <c r="K1257" i="1" s="1"/>
  <c r="J1257" i="1" a="1"/>
  <c r="J1257" i="1" s="1"/>
  <c r="L1257" i="1" a="1"/>
  <c r="L1257" i="1" s="1"/>
  <c r="L1256" i="1" a="1"/>
  <c r="L1256" i="1" s="1"/>
  <c r="L1255" i="1" a="1"/>
  <c r="L1255" i="1" s="1"/>
  <c r="L1259" i="1" a="1"/>
  <c r="L1259" i="1" s="1"/>
  <c r="L1250" i="1" a="1"/>
  <c r="L1250" i="1" s="1"/>
  <c r="J1252" i="1" a="1"/>
  <c r="J1252" i="1" s="1"/>
  <c r="K1250" i="1" a="1"/>
  <c r="K1250" i="1" s="1"/>
  <c r="J1254" i="1" a="1"/>
  <c r="J1254" i="1" s="1"/>
  <c r="L1253" i="1" a="1"/>
  <c r="L1253" i="1" s="1"/>
  <c r="L1252" i="1" a="1"/>
  <c r="L1252" i="1" s="1"/>
  <c r="K1249" i="1" a="1"/>
  <c r="K1249" i="1" s="1"/>
  <c r="K1254" i="1" a="1"/>
  <c r="K1254" i="1" s="1"/>
  <c r="L1251" i="1" a="1"/>
  <c r="L1251" i="1" s="1"/>
  <c r="L1254" i="1" a="1"/>
  <c r="L1254" i="1" s="1"/>
  <c r="J1251" i="1" a="1"/>
  <c r="J1251" i="1" s="1"/>
  <c r="K1253" i="1" a="1"/>
  <c r="K1253" i="1" s="1"/>
  <c r="J1248" i="1" a="1"/>
  <c r="J1248" i="1" s="1"/>
  <c r="J1253" i="1" a="1"/>
  <c r="J1253" i="1" s="1"/>
  <c r="K1252" i="1" a="1"/>
  <c r="K1252" i="1" s="1"/>
  <c r="J1249" i="1" a="1"/>
  <c r="J1249" i="1" s="1"/>
  <c r="K1251" i="1" a="1"/>
  <c r="K1251" i="1" s="1"/>
  <c r="L1248" i="1" a="1"/>
  <c r="L1248" i="1" s="1"/>
  <c r="K1248" i="1" a="1"/>
  <c r="K1248" i="1" s="1"/>
  <c r="L1249" i="1" a="1"/>
  <c r="L1249" i="1" s="1"/>
  <c r="J1250" i="1" a="1"/>
  <c r="J1250" i="1" s="1"/>
  <c r="J1244" i="1" a="1"/>
  <c r="J1244" i="1" s="1"/>
  <c r="L1242" i="1" a="1"/>
  <c r="L1242" i="1" s="1"/>
  <c r="K1244" i="1" a="1"/>
  <c r="K1244" i="1" s="1"/>
  <c r="K1247" i="1" a="1"/>
  <c r="K1247" i="1" s="1"/>
  <c r="J1247" i="1" a="1"/>
  <c r="J1247" i="1" s="1"/>
  <c r="K1246" i="1" a="1"/>
  <c r="K1246" i="1" s="1"/>
  <c r="L1244" i="1" a="1"/>
  <c r="L1244" i="1" s="1"/>
  <c r="J1243" i="1" a="1"/>
  <c r="J1243" i="1" s="1"/>
  <c r="J1245" i="1" a="1"/>
  <c r="J1245" i="1" s="1"/>
  <c r="L1247" i="1" a="1"/>
  <c r="L1247" i="1" s="1"/>
  <c r="J1246" i="1" a="1"/>
  <c r="J1246" i="1" s="1"/>
  <c r="L1245" i="1" a="1"/>
  <c r="L1245" i="1" s="1"/>
  <c r="K1245" i="1" a="1"/>
  <c r="K1245" i="1" s="1"/>
  <c r="K1243" i="1" a="1"/>
  <c r="K1243" i="1" s="1"/>
  <c r="L1246" i="1" a="1"/>
  <c r="L1246" i="1" s="1"/>
  <c r="L1243" i="1" a="1"/>
  <c r="L1243" i="1" s="1"/>
  <c r="K1239" i="1" a="1"/>
  <c r="K1239" i="1" s="1"/>
  <c r="L1238" i="1" a="1"/>
  <c r="L1238" i="1" s="1"/>
  <c r="K1238" i="1" a="1"/>
  <c r="K1238" i="1" s="1"/>
  <c r="L1240" i="1" a="1"/>
  <c r="L1240" i="1" s="1"/>
  <c r="K1242" i="1" a="1"/>
  <c r="K1242" i="1" s="1"/>
  <c r="J1242" i="1" a="1"/>
  <c r="J1242" i="1" s="1"/>
  <c r="L1241" i="1" a="1"/>
  <c r="L1241" i="1" s="1"/>
  <c r="J1241" i="1" a="1"/>
  <c r="J1241" i="1" s="1"/>
  <c r="K1241" i="1" a="1"/>
  <c r="K1241" i="1" s="1"/>
  <c r="K1240" i="1" a="1"/>
  <c r="K1240" i="1" s="1"/>
  <c r="J1240" i="1" a="1"/>
  <c r="J1240" i="1" s="1"/>
  <c r="L1239" i="1" a="1"/>
  <c r="L1239" i="1" s="1"/>
  <c r="J1239" i="1" a="1"/>
  <c r="J1239" i="1" s="1"/>
  <c r="J1238" i="1" a="1"/>
  <c r="J1238" i="1" s="1"/>
  <c r="J1237" i="1" a="1"/>
  <c r="J1237" i="1" s="1"/>
  <c r="L1232" i="1" a="1"/>
  <c r="L1232" i="1" s="1"/>
  <c r="L1236" i="1" a="1"/>
  <c r="L1236" i="1" s="1"/>
  <c r="K1235" i="1" a="1"/>
  <c r="K1235" i="1" s="1"/>
  <c r="J1235" i="1" a="1"/>
  <c r="J1235" i="1" s="1"/>
  <c r="K1233" i="1" a="1"/>
  <c r="K1233" i="1" s="1"/>
  <c r="J1234" i="1" a="1"/>
  <c r="J1234" i="1" s="1"/>
  <c r="L1234" i="1" a="1"/>
  <c r="L1234" i="1" s="1"/>
  <c r="J1233" i="1" a="1"/>
  <c r="J1233" i="1" s="1"/>
  <c r="K1232" i="1" a="1"/>
  <c r="K1232" i="1" s="1"/>
  <c r="L1233" i="1" a="1"/>
  <c r="L1233" i="1" s="1"/>
  <c r="J1232" i="1" a="1"/>
  <c r="J1232" i="1" s="1"/>
  <c r="L1235" i="1" a="1"/>
  <c r="L1235" i="1" s="1"/>
  <c r="K1234" i="1" a="1"/>
  <c r="K1234" i="1" s="1"/>
  <c r="L1237" i="1" a="1"/>
  <c r="L1237" i="1" s="1"/>
  <c r="K1237" i="1" a="1"/>
  <c r="K1237" i="1" s="1"/>
  <c r="J1236" i="1" a="1"/>
  <c r="J1236" i="1" s="1"/>
  <c r="K1236" i="1" a="1"/>
  <c r="K1236" i="1" s="1"/>
  <c r="L1229" i="1" a="1"/>
  <c r="L1229" i="1" s="1"/>
  <c r="K1228" i="1" a="1"/>
  <c r="K1228" i="1" s="1"/>
  <c r="L1231" i="1" a="1"/>
  <c r="L1231" i="1" s="1"/>
  <c r="K1231" i="1" a="1"/>
  <c r="K1231" i="1" s="1"/>
  <c r="K1230" i="1" a="1"/>
  <c r="K1230" i="1" s="1"/>
  <c r="J1231" i="1" a="1"/>
  <c r="J1231" i="1" s="1"/>
  <c r="J1227" i="1" a="1"/>
  <c r="J1227" i="1" s="1"/>
  <c r="L1230" i="1" a="1"/>
  <c r="L1230" i="1" s="1"/>
  <c r="J1230" i="1" a="1"/>
  <c r="J1230" i="1" s="1"/>
  <c r="K1227" i="1" a="1"/>
  <c r="K1227" i="1" s="1"/>
  <c r="L1228" i="1" a="1"/>
  <c r="L1228" i="1" s="1"/>
  <c r="K1229" i="1" a="1"/>
  <c r="K1229" i="1" s="1"/>
  <c r="J1228" i="1" a="1"/>
  <c r="J1228" i="1" s="1"/>
  <c r="J1229" i="1" a="1"/>
  <c r="J1229" i="1" s="1"/>
  <c r="L1226" i="1" a="1"/>
  <c r="L1226" i="1" s="1"/>
  <c r="L1227" i="1" a="1"/>
  <c r="L1227" i="1" s="1"/>
  <c r="J1223" i="1" a="1"/>
  <c r="J1223" i="1" s="1"/>
  <c r="K1222" i="1" a="1"/>
  <c r="K1222" i="1" s="1"/>
  <c r="J1225" i="1" a="1"/>
  <c r="J1225" i="1" s="1"/>
  <c r="K1224" i="1" a="1"/>
  <c r="K1224" i="1" s="1"/>
  <c r="L1223" i="1" a="1"/>
  <c r="L1223" i="1" s="1"/>
  <c r="L1222" i="1" a="1"/>
  <c r="L1222" i="1" s="1"/>
  <c r="J1222" i="1" a="1"/>
  <c r="J1222" i="1" s="1"/>
  <c r="J1226" i="1" a="1"/>
  <c r="J1226" i="1" s="1"/>
  <c r="K1226" i="1" a="1"/>
  <c r="K1226" i="1" s="1"/>
  <c r="L1225" i="1" a="1"/>
  <c r="L1225" i="1" s="1"/>
  <c r="J1224" i="1" a="1"/>
  <c r="J1224" i="1" s="1"/>
  <c r="K1223" i="1" a="1"/>
  <c r="K1223" i="1" s="1"/>
  <c r="L1221" i="1" a="1"/>
  <c r="L1221" i="1" s="1"/>
  <c r="L1224" i="1" a="1"/>
  <c r="L1224" i="1" s="1"/>
  <c r="K1221" i="1" a="1"/>
  <c r="K1221" i="1" s="1"/>
  <c r="K1225" i="1" a="1"/>
  <c r="K1225" i="1" s="1"/>
  <c r="K1217" i="1" a="1"/>
  <c r="K1217" i="1" s="1"/>
  <c r="K1218" i="1" a="1"/>
  <c r="K1218" i="1" s="1"/>
  <c r="J1216" i="1" a="1"/>
  <c r="J1216" i="1" s="1"/>
  <c r="J1221" i="1" a="1"/>
  <c r="J1221" i="1" s="1"/>
  <c r="L1214" i="1" a="1"/>
  <c r="L1214" i="1" s="1"/>
  <c r="K1219" i="1" a="1"/>
  <c r="K1219" i="1" s="1"/>
  <c r="L1216" i="1" a="1"/>
  <c r="L1216" i="1" s="1"/>
  <c r="J1219" i="1" a="1"/>
  <c r="J1219" i="1" s="1"/>
  <c r="L1215" i="1" a="1"/>
  <c r="L1215" i="1" s="1"/>
  <c r="J1215" i="1" a="1"/>
  <c r="J1215" i="1" s="1"/>
  <c r="L1220" i="1" a="1"/>
  <c r="L1220" i="1" s="1"/>
  <c r="K1220" i="1" a="1"/>
  <c r="K1220" i="1" s="1"/>
  <c r="J1220" i="1" a="1"/>
  <c r="J1220" i="1" s="1"/>
  <c r="L1219" i="1" a="1"/>
  <c r="L1219" i="1" s="1"/>
  <c r="L1218" i="1" a="1"/>
  <c r="L1218" i="1" s="1"/>
  <c r="K1216" i="1" a="1"/>
  <c r="K1216" i="1" s="1"/>
  <c r="L1217" i="1" a="1"/>
  <c r="L1217" i="1" s="1"/>
  <c r="J1217" i="1" a="1"/>
  <c r="J1217" i="1" s="1"/>
  <c r="K1215" i="1" a="1"/>
  <c r="K1215" i="1" s="1"/>
  <c r="K1214" i="1" a="1"/>
  <c r="K1214" i="1" s="1"/>
  <c r="J1214" i="1" a="1"/>
  <c r="J1214" i="1" s="1"/>
  <c r="J1218" i="1" a="1"/>
  <c r="J1218" i="1" s="1"/>
  <c r="L1208" i="1" a="1"/>
  <c r="L1208" i="1" s="1"/>
  <c r="L1209" i="1" a="1"/>
  <c r="L1209" i="1" s="1"/>
  <c r="K1208" i="1" a="1"/>
  <c r="K1208" i="1" s="1"/>
  <c r="K1211" i="1" a="1"/>
  <c r="K1211" i="1" s="1"/>
  <c r="K1210" i="1" a="1"/>
  <c r="K1210" i="1" s="1"/>
  <c r="L1210" i="1" a="1"/>
  <c r="L1210" i="1" s="1"/>
  <c r="L1212" i="1" a="1"/>
  <c r="L1212" i="1" s="1"/>
  <c r="J1212" i="1" a="1"/>
  <c r="J1212" i="1" s="1"/>
  <c r="L1211" i="1" a="1"/>
  <c r="L1211" i="1" s="1"/>
  <c r="J1202" i="1" a="1"/>
  <c r="J1202" i="1" s="1"/>
  <c r="J1211" i="1" a="1"/>
  <c r="J1211" i="1" s="1"/>
  <c r="J1210" i="1" a="1"/>
  <c r="J1210" i="1" s="1"/>
  <c r="J1209" i="1" a="1"/>
  <c r="J1209" i="1" s="1"/>
  <c r="K1209" i="1" a="1"/>
  <c r="K1209" i="1" s="1"/>
  <c r="J1208" i="1" a="1"/>
  <c r="J1208" i="1" s="1"/>
  <c r="K1212" i="1" a="1"/>
  <c r="K1212" i="1" s="1"/>
  <c r="L1202" i="1" a="1"/>
  <c r="L1202" i="1" s="1"/>
  <c r="K1202" i="1" a="1"/>
  <c r="K1202" i="1" s="1"/>
  <c r="J1507" i="1" a="1"/>
  <c r="J1507" i="1" s="1"/>
  <c r="L1506" i="1" a="1"/>
  <c r="L1506" i="1" s="1"/>
  <c r="K1506" i="1" a="1"/>
  <c r="K1506" i="1" s="1"/>
  <c r="J1506" i="1" a="1"/>
  <c r="J1506" i="1" s="1"/>
  <c r="L1507" i="1" a="1"/>
  <c r="L1507" i="1" s="1"/>
  <c r="K1507" i="1" a="1"/>
  <c r="K1507" i="1" s="1"/>
  <c r="L1504" i="1" a="1"/>
  <c r="L1504" i="1" s="1"/>
  <c r="K1504" i="1" a="1"/>
  <c r="K1504" i="1" s="1"/>
  <c r="J1502" i="1" a="1"/>
  <c r="J1502" i="1" s="1"/>
  <c r="K1502" i="1" a="1"/>
  <c r="K1502" i="1" s="1"/>
  <c r="L1502" i="1" a="1"/>
  <c r="L1502" i="1" s="1"/>
  <c r="L1505" i="1" a="1"/>
  <c r="L1505" i="1" s="1"/>
  <c r="L1501" i="1" a="1"/>
  <c r="L1501" i="1" s="1"/>
  <c r="J1505" i="1" a="1"/>
  <c r="J1505" i="1" s="1"/>
  <c r="K1505" i="1" a="1"/>
  <c r="K1505" i="1" s="1"/>
  <c r="J1504" i="1" a="1"/>
  <c r="J1504" i="1" s="1"/>
  <c r="K1501" i="1" a="1"/>
  <c r="K1501" i="1" s="1"/>
  <c r="J1501" i="1" a="1"/>
  <c r="J1501" i="1" s="1"/>
  <c r="L1500" i="1" a="1"/>
  <c r="L1500" i="1" s="1"/>
  <c r="K1500" i="1" a="1"/>
  <c r="K1500" i="1" s="1"/>
  <c r="J1500" i="1" a="1"/>
  <c r="J1500" i="1" s="1"/>
  <c r="L1499" i="1" a="1"/>
  <c r="L1499" i="1" s="1"/>
  <c r="J1499" i="1" a="1"/>
  <c r="J1499" i="1" s="1"/>
  <c r="K1499" i="1" a="1"/>
  <c r="K1499" i="1" s="1"/>
  <c r="L1494" i="1" a="1"/>
  <c r="L1494" i="1" s="1"/>
  <c r="J1494" i="1" a="1"/>
  <c r="J1494" i="1" s="1"/>
  <c r="K1494" i="1" a="1"/>
  <c r="K1494" i="1" s="1"/>
  <c r="K2143" i="1" a="1"/>
  <c r="K2143" i="1" s="1"/>
  <c r="L2139" i="1" a="1"/>
  <c r="L2139" i="1" s="1"/>
  <c r="K2138" i="1" a="1"/>
  <c r="K2138" i="1" s="1"/>
  <c r="J2138" i="1" a="1"/>
  <c r="J2138" i="1" s="1"/>
  <c r="K2140" i="1" a="1"/>
  <c r="K2140" i="1" s="1"/>
  <c r="K2141" i="1" a="1"/>
  <c r="K2141" i="1" s="1"/>
  <c r="L2140" i="1" a="1"/>
  <c r="L2140" i="1" s="1"/>
  <c r="L2137" i="1" a="1"/>
  <c r="L2137" i="1" s="1"/>
  <c r="J2144" i="1" a="1"/>
  <c r="J2144" i="1" s="1"/>
  <c r="L2143" i="1" a="1"/>
  <c r="L2143" i="1" s="1"/>
  <c r="J2141" i="1" a="1"/>
  <c r="J2141" i="1" s="1"/>
  <c r="L2142" i="1" a="1"/>
  <c r="L2142" i="1" s="1"/>
  <c r="K2142" i="1" a="1"/>
  <c r="K2142" i="1" s="1"/>
  <c r="L2141" i="1" a="1"/>
  <c r="L2141" i="1" s="1"/>
  <c r="K2144" i="1" a="1"/>
  <c r="K2144" i="1" s="1"/>
  <c r="L2144" i="1" a="1"/>
  <c r="L2144" i="1" s="1"/>
  <c r="L2138" i="1" a="1"/>
  <c r="L2138" i="1" s="1"/>
  <c r="J2143" i="1" a="1"/>
  <c r="J2143" i="1" s="1"/>
  <c r="J2140" i="1" a="1"/>
  <c r="J2140" i="1" s="1"/>
  <c r="K2137" i="1" a="1"/>
  <c r="K2137" i="1" s="1"/>
  <c r="J2139" i="1" a="1"/>
  <c r="J2139" i="1" s="1"/>
  <c r="K2139" i="1" a="1"/>
  <c r="K2139" i="1" s="1"/>
  <c r="J2137" i="1" a="1"/>
  <c r="J2137" i="1" s="1"/>
  <c r="J2142" i="1" a="1"/>
  <c r="J2142" i="1" s="1"/>
  <c r="L2129" i="1" a="1"/>
  <c r="L2129" i="1" s="1"/>
  <c r="K2129" i="1" a="1"/>
  <c r="K2129" i="1" s="1"/>
  <c r="K2134" i="1" a="1"/>
  <c r="K2134" i="1" s="1"/>
  <c r="L2130" i="1" a="1"/>
  <c r="L2130" i="1" s="1"/>
  <c r="K2130" i="1" a="1"/>
  <c r="K2130" i="1" s="1"/>
  <c r="L2136" i="1" a="1"/>
  <c r="L2136" i="1" s="1"/>
  <c r="K2136" i="1" a="1"/>
  <c r="K2136" i="1" s="1"/>
  <c r="J2136" i="1" a="1"/>
  <c r="J2136" i="1" s="1"/>
  <c r="L2134" i="1" a="1"/>
  <c r="L2134" i="1" s="1"/>
  <c r="L2132" i="1" a="1"/>
  <c r="L2132" i="1" s="1"/>
  <c r="J2129" i="1" a="1"/>
  <c r="J2129" i="1" s="1"/>
  <c r="J2135" i="1" a="1"/>
  <c r="J2135" i="1" s="1"/>
  <c r="L2133" i="1" a="1"/>
  <c r="L2133" i="1" s="1"/>
  <c r="J2133" i="1" a="1"/>
  <c r="J2133" i="1" s="1"/>
  <c r="J2134" i="1" a="1"/>
  <c r="J2134" i="1" s="1"/>
  <c r="K2132" i="1" a="1"/>
  <c r="K2132" i="1" s="1"/>
  <c r="J2132" i="1" a="1"/>
  <c r="J2132" i="1" s="1"/>
  <c r="L2131" i="1" a="1"/>
  <c r="L2131" i="1" s="1"/>
  <c r="K2128" i="1" a="1"/>
  <c r="K2128" i="1" s="1"/>
  <c r="J2130" i="1" a="1"/>
  <c r="J2130" i="1" s="1"/>
  <c r="K2131" i="1" a="1"/>
  <c r="K2131" i="1" s="1"/>
  <c r="L2128" i="1" a="1"/>
  <c r="L2128" i="1" s="1"/>
  <c r="J2131" i="1" a="1"/>
  <c r="J2131" i="1" s="1"/>
  <c r="J2128" i="1" a="1"/>
  <c r="J2128" i="1" s="1"/>
  <c r="L2135" i="1" a="1"/>
  <c r="L2135" i="1" s="1"/>
  <c r="K2133" i="1" a="1"/>
  <c r="K2133" i="1" s="1"/>
  <c r="K2135" i="1" a="1"/>
  <c r="K2135" i="1" s="1"/>
  <c r="J2123" i="1" a="1"/>
  <c r="J2123" i="1" s="1"/>
  <c r="K2123" i="1" a="1"/>
  <c r="K2123" i="1" s="1"/>
  <c r="K2126" i="1" a="1"/>
  <c r="K2126" i="1" s="1"/>
  <c r="L2119" i="1" a="1"/>
  <c r="L2119" i="1" s="1"/>
  <c r="J2119" i="1" a="1"/>
  <c r="J2119" i="1" s="1"/>
  <c r="K2127" i="1" a="1"/>
  <c r="K2127" i="1" s="1"/>
  <c r="J2127" i="1" a="1"/>
  <c r="J2127" i="1" s="1"/>
  <c r="L2126" i="1" a="1"/>
  <c r="L2126" i="1" s="1"/>
  <c r="L2122" i="1" a="1"/>
  <c r="L2122" i="1" s="1"/>
  <c r="J2122" i="1" a="1"/>
  <c r="J2122" i="1" s="1"/>
  <c r="L2121" i="1" a="1"/>
  <c r="L2121" i="1" s="1"/>
  <c r="J2126" i="1" a="1"/>
  <c r="J2126" i="1" s="1"/>
  <c r="L2120" i="1" a="1"/>
  <c r="L2120" i="1" s="1"/>
  <c r="K2122" i="1" a="1"/>
  <c r="K2122" i="1" s="1"/>
  <c r="L2123" i="1" a="1"/>
  <c r="L2123" i="1" s="1"/>
  <c r="J2120" i="1" a="1"/>
  <c r="J2120" i="1" s="1"/>
  <c r="J2125" i="1" a="1"/>
  <c r="J2125" i="1" s="1"/>
  <c r="L2124" i="1" a="1"/>
  <c r="L2124" i="1" s="1"/>
  <c r="J2124" i="1" a="1"/>
  <c r="J2124" i="1" s="1"/>
  <c r="L2125" i="1" a="1"/>
  <c r="L2125" i="1" s="1"/>
  <c r="J2121" i="1" a="1"/>
  <c r="J2121" i="1" s="1"/>
  <c r="K2121" i="1" a="1"/>
  <c r="K2121" i="1" s="1"/>
  <c r="K2120" i="1" a="1"/>
  <c r="K2120" i="1" s="1"/>
  <c r="K2125" i="1" a="1"/>
  <c r="K2125" i="1" s="1"/>
  <c r="K2124" i="1" a="1"/>
  <c r="K2124" i="1" s="1"/>
  <c r="K2119" i="1" a="1"/>
  <c r="K2119" i="1" s="1"/>
  <c r="L2127" i="1" a="1"/>
  <c r="L2127" i="1" s="1"/>
  <c r="K2118" i="1" a="1"/>
  <c r="K2118" i="1" s="1"/>
  <c r="L2118" i="1" a="1"/>
  <c r="L2118" i="1" s="1"/>
  <c r="J2118" i="1" a="1"/>
  <c r="J2118" i="1" s="1"/>
  <c r="K2117" i="1" a="1"/>
  <c r="K2117" i="1" s="1"/>
  <c r="L2117" i="1" a="1"/>
  <c r="L2117" i="1" s="1"/>
  <c r="J2117" i="1" a="1"/>
  <c r="J2117" i="1" s="1"/>
  <c r="L2116" i="1" a="1"/>
  <c r="L2116" i="1" s="1"/>
  <c r="J2116" i="1" a="1"/>
  <c r="J2116" i="1" s="1"/>
  <c r="K2115" i="1" a="1"/>
  <c r="K2115" i="1" s="1"/>
  <c r="J2115" i="1" a="1"/>
  <c r="J2115" i="1" s="1"/>
  <c r="K2116" i="1" a="1"/>
  <c r="K2116" i="1" s="1"/>
  <c r="L2115" i="1" a="1"/>
  <c r="L2115" i="1" s="1"/>
  <c r="L2021" i="1" a="1"/>
  <c r="L2021" i="1" s="1"/>
  <c r="J2021" i="1" a="1"/>
  <c r="J2021" i="1" s="1"/>
  <c r="K2021" i="1" a="1"/>
  <c r="K2021" i="1" s="1"/>
  <c r="L2020" i="1" a="1"/>
  <c r="L2020" i="1" s="1"/>
  <c r="L2011" i="1" a="1"/>
  <c r="L2011" i="1" s="1"/>
  <c r="J2015" i="1" a="1"/>
  <c r="J2015" i="1" s="1"/>
  <c r="K2011" i="1" a="1"/>
  <c r="K2011" i="1" s="1"/>
  <c r="J2018" i="1" a="1"/>
  <c r="J2018" i="1" s="1"/>
  <c r="J2019" i="1" s="1" a="1"/>
  <c r="J2019" i="1" s="1"/>
  <c r="K2013" i="1" a="1"/>
  <c r="K2013" i="1" s="1"/>
  <c r="K2014" i="1" s="1" a="1"/>
  <c r="K2014" i="1" s="1"/>
  <c r="L2018" i="1" a="1"/>
  <c r="L2018" i="1" s="1"/>
  <c r="L2019" i="1" s="1" a="1"/>
  <c r="L2019" i="1" s="1"/>
  <c r="K2018" i="1" a="1"/>
  <c r="K2018" i="1" s="1"/>
  <c r="K2019" i="1" s="1" a="1"/>
  <c r="K2019" i="1" s="1"/>
  <c r="L2013" i="1" a="1"/>
  <c r="L2013" i="1" s="1"/>
  <c r="L2014" i="1" s="1" a="1"/>
  <c r="L2014" i="1" s="1"/>
  <c r="K2015" i="1" a="1"/>
  <c r="K2015" i="1" s="1"/>
  <c r="L2015" i="1" a="1"/>
  <c r="L2015" i="1" s="1"/>
  <c r="J2016" i="1" a="1"/>
  <c r="J2016" i="1" s="1"/>
  <c r="J2017" i="1" s="1" a="1"/>
  <c r="J2017" i="1" s="1"/>
  <c r="J2013" i="1" a="1"/>
  <c r="J2013" i="1" s="1"/>
  <c r="J2014" i="1" s="1" a="1"/>
  <c r="J2014" i="1" s="1"/>
  <c r="L2016" i="1" a="1"/>
  <c r="L2016" i="1" s="1"/>
  <c r="L2017" i="1" s="1" a="1"/>
  <c r="L2017" i="1" s="1"/>
  <c r="K2016" i="1" a="1"/>
  <c r="K2016" i="1" s="1"/>
  <c r="K2017" i="1" s="1" a="1"/>
  <c r="K2017" i="1" s="1"/>
  <c r="K2020" i="1" a="1"/>
  <c r="K2020" i="1" s="1"/>
  <c r="J2020" i="1" a="1"/>
  <c r="J2020" i="1" s="1"/>
  <c r="J2011" i="1" a="1"/>
  <c r="J2011" i="1" s="1"/>
  <c r="K2010" i="1" a="1"/>
  <c r="K2010" i="1" s="1"/>
  <c r="J2010" i="1" a="1"/>
  <c r="J2010" i="1" s="1"/>
  <c r="K2003" i="1" a="1"/>
  <c r="K2003" i="1" s="1"/>
  <c r="K2004" i="1" s="1" a="1"/>
  <c r="K2004" i="1" s="1"/>
  <c r="L2005" i="1" a="1"/>
  <c r="L2005" i="1" s="1"/>
  <c r="J2003" i="1" a="1"/>
  <c r="J2003" i="1" s="1"/>
  <c r="J2004" i="1" s="1" a="1"/>
  <c r="J2004" i="1" s="1"/>
  <c r="J2005" i="1" a="1"/>
  <c r="J2005" i="1" s="1"/>
  <c r="K2008" i="1" a="1"/>
  <c r="K2008" i="1" s="1"/>
  <c r="K2009" i="1" s="1" a="1"/>
  <c r="K2009" i="1" s="1"/>
  <c r="L2006" i="1" a="1"/>
  <c r="L2006" i="1" s="1"/>
  <c r="L2007" i="1" s="1" a="1"/>
  <c r="L2007" i="1" s="1"/>
  <c r="K2006" i="1" a="1"/>
  <c r="K2006" i="1" s="1"/>
  <c r="K2007" i="1" s="1" a="1"/>
  <c r="K2007" i="1" s="1"/>
  <c r="K2005" i="1" a="1"/>
  <c r="K2005" i="1" s="1"/>
  <c r="L2003" i="1" a="1"/>
  <c r="L2003" i="1" s="1"/>
  <c r="L2004" i="1" s="1" a="1"/>
  <c r="L2004" i="1" s="1"/>
  <c r="J2006" i="1" a="1"/>
  <c r="J2006" i="1" s="1"/>
  <c r="J2007" i="1" s="1" a="1"/>
  <c r="J2007" i="1" s="1"/>
  <c r="L2010" i="1" a="1"/>
  <c r="L2010" i="1" s="1"/>
  <c r="L2008" i="1" a="1"/>
  <c r="L2008" i="1" s="1"/>
  <c r="L2009" i="1" s="1" a="1"/>
  <c r="L2009" i="1" s="1"/>
  <c r="J2008" i="1" a="1"/>
  <c r="J2008" i="1" s="1"/>
  <c r="J2009" i="1" s="1" a="1"/>
  <c r="J2009" i="1" s="1"/>
  <c r="J2229" i="1" a="1"/>
  <c r="J2229" i="1" s="1"/>
  <c r="J2230" i="1" s="1" a="1"/>
  <c r="J2230" i="1" s="1"/>
  <c r="K2229" i="1" a="1"/>
  <c r="K2229" i="1" s="1"/>
  <c r="K2230" i="1" s="1" a="1"/>
  <c r="K2230" i="1" s="1"/>
  <c r="L2232" i="1" a="1"/>
  <c r="L2232" i="1" s="1"/>
  <c r="K2231" i="1" a="1"/>
  <c r="K2231" i="1" s="1"/>
  <c r="L2229" i="1" a="1"/>
  <c r="L2229" i="1" s="1"/>
  <c r="L2230" i="1" s="1" a="1"/>
  <c r="L2230" i="1" s="1"/>
  <c r="J2232" i="1" a="1"/>
  <c r="J2232" i="1" s="1"/>
  <c r="J2231" i="1" a="1"/>
  <c r="J2231" i="1" s="1"/>
  <c r="K2232" i="1" a="1"/>
  <c r="K2232" i="1" s="1"/>
  <c r="L2231" i="1" a="1"/>
  <c r="L2231" i="1" s="1"/>
  <c r="L2226" i="1" a="1"/>
  <c r="L2226" i="1" s="1"/>
  <c r="J2226" i="1" a="1"/>
  <c r="J2226" i="1" s="1"/>
  <c r="L2222" i="1" a="1"/>
  <c r="L2222" i="1" s="1"/>
  <c r="K2226" i="1" a="1"/>
  <c r="K2226" i="1" s="1"/>
  <c r="L2224" i="1" a="1"/>
  <c r="L2224" i="1" s="1"/>
  <c r="L2225" i="1" s="1" a="1"/>
  <c r="L2225" i="1" s="1"/>
  <c r="J2222" i="1" a="1"/>
  <c r="J2222" i="1" s="1"/>
  <c r="K2222" i="1" a="1"/>
  <c r="K2222" i="1" s="1"/>
  <c r="J2224" i="1" a="1"/>
  <c r="J2224" i="1" s="1"/>
  <c r="J2225" i="1" s="1" a="1"/>
  <c r="J2225" i="1" s="1"/>
  <c r="L2227" i="1" a="1"/>
  <c r="L2227" i="1" s="1"/>
  <c r="L2228" i="1" s="1" a="1"/>
  <c r="L2228" i="1" s="1"/>
  <c r="K2227" i="1" a="1"/>
  <c r="K2227" i="1" s="1"/>
  <c r="K2228" i="1" s="1" a="1"/>
  <c r="K2228" i="1" s="1"/>
  <c r="J2227" i="1" a="1"/>
  <c r="J2227" i="1" s="1"/>
  <c r="J2228" i="1" s="1" a="1"/>
  <c r="J2228" i="1" s="1"/>
  <c r="J2219" i="1" a="1"/>
  <c r="J2219" i="1" s="1"/>
  <c r="J2220" i="1" s="1" a="1"/>
  <c r="J2220" i="1" s="1"/>
  <c r="K2224" i="1" a="1"/>
  <c r="K2224" i="1" s="1"/>
  <c r="K2225" i="1" s="1" a="1"/>
  <c r="K2225" i="1" s="1"/>
  <c r="L2219" i="1" a="1"/>
  <c r="L2219" i="1" s="1"/>
  <c r="L2220" i="1" s="1" a="1"/>
  <c r="L2220" i="1" s="1"/>
  <c r="K2221" i="1" a="1"/>
  <c r="K2221" i="1" s="1"/>
  <c r="K2219" i="1" a="1"/>
  <c r="K2219" i="1" s="1"/>
  <c r="K2220" i="1" s="1" a="1"/>
  <c r="K2220" i="1" s="1"/>
  <c r="J2221" i="1" a="1"/>
  <c r="J2221" i="1" s="1"/>
  <c r="L2221" i="1" a="1"/>
  <c r="L2221" i="1" s="1"/>
  <c r="K2210" i="1" a="1"/>
  <c r="K2210" i="1" s="1"/>
  <c r="L2214" i="1" a="1"/>
  <c r="L2214" i="1" s="1"/>
  <c r="L2215" i="1" s="1" a="1"/>
  <c r="L2215" i="1" s="1"/>
  <c r="J2211" i="1" a="1"/>
  <c r="J2211" i="1" s="1"/>
  <c r="L2211" i="1" a="1"/>
  <c r="L2211" i="1" s="1"/>
  <c r="L2210" i="1" a="1"/>
  <c r="L2210" i="1" s="1"/>
  <c r="L2209" i="1" a="1"/>
  <c r="L2209" i="1" s="1"/>
  <c r="K2217" i="1" a="1"/>
  <c r="K2217" i="1" s="1"/>
  <c r="K2218" i="1" s="1" a="1"/>
  <c r="K2218" i="1" s="1"/>
  <c r="J2217" i="1" a="1"/>
  <c r="J2217" i="1" s="1"/>
  <c r="J2218" i="1" s="1" a="1"/>
  <c r="J2218" i="1" s="1"/>
  <c r="L2212" i="1" a="1"/>
  <c r="L2212" i="1" s="1"/>
  <c r="K2209" i="1" a="1"/>
  <c r="K2209" i="1" s="1"/>
  <c r="K2214" i="1" a="1"/>
  <c r="K2214" i="1" s="1"/>
  <c r="K2215" i="1" s="1" a="1"/>
  <c r="K2215" i="1" s="1"/>
  <c r="J2210" i="1" a="1"/>
  <c r="J2210" i="1" s="1"/>
  <c r="K2211" i="1" a="1"/>
  <c r="K2211" i="1" s="1"/>
  <c r="L2216" i="1" a="1"/>
  <c r="L2216" i="1" s="1"/>
  <c r="K2216" i="1" a="1"/>
  <c r="K2216" i="1" s="1"/>
  <c r="J2214" i="1" a="1"/>
  <c r="J2214" i="1" s="1"/>
  <c r="J2215" i="1" s="1" a="1"/>
  <c r="J2215" i="1" s="1"/>
  <c r="J2212" i="1" a="1"/>
  <c r="J2212" i="1" s="1"/>
  <c r="L2217" i="1" a="1"/>
  <c r="L2217" i="1" s="1"/>
  <c r="L2218" i="1" s="1" a="1"/>
  <c r="L2218" i="1" s="1"/>
  <c r="J2216" i="1" a="1"/>
  <c r="J2216" i="1" s="1"/>
  <c r="K2212" i="1" a="1"/>
  <c r="K2212" i="1" s="1"/>
  <c r="J2209" i="1" a="1"/>
  <c r="J2209" i="1" s="1"/>
  <c r="L2204" i="1" a="1"/>
  <c r="L2204" i="1" s="1"/>
  <c r="L2203" i="1" a="1"/>
  <c r="L2203" i="1" s="1"/>
  <c r="K2200" i="1" a="1"/>
  <c r="K2200" i="1" s="1"/>
  <c r="J2208" i="1" a="1"/>
  <c r="J2208" i="1" s="1"/>
  <c r="J2202" i="1" a="1"/>
  <c r="J2202" i="1" s="1"/>
  <c r="J2200" i="1" a="1"/>
  <c r="J2200" i="1" s="1"/>
  <c r="K2203" i="1" a="1"/>
  <c r="K2203" i="1" s="1"/>
  <c r="L2208" i="1" a="1"/>
  <c r="L2208" i="1" s="1"/>
  <c r="L2207" i="1" a="1"/>
  <c r="L2207" i="1" s="1"/>
  <c r="K2208" i="1" a="1"/>
  <c r="K2208" i="1" s="1"/>
  <c r="K2204" i="1" a="1"/>
  <c r="K2204" i="1" s="1"/>
  <c r="J2204" i="1" a="1"/>
  <c r="J2204" i="1" s="1"/>
  <c r="K2207" i="1" a="1"/>
  <c r="K2207" i="1" s="1"/>
  <c r="J2207" i="1" a="1"/>
  <c r="J2207" i="1" s="1"/>
  <c r="K2201" i="1" a="1"/>
  <c r="K2201" i="1" s="1"/>
  <c r="L2205" i="1" a="1"/>
  <c r="L2205" i="1" s="1"/>
  <c r="K2205" i="1" a="1"/>
  <c r="K2205" i="1" s="1"/>
  <c r="J2203" i="1" a="1"/>
  <c r="J2203" i="1" s="1"/>
  <c r="J2205" i="1" a="1"/>
  <c r="J2205" i="1" s="1"/>
  <c r="K2202" i="1" a="1"/>
  <c r="K2202" i="1" s="1"/>
  <c r="J2201" i="1" a="1"/>
  <c r="J2201" i="1" s="1"/>
  <c r="L2206" i="1" a="1"/>
  <c r="L2206" i="1" s="1"/>
  <c r="K2206" i="1" a="1"/>
  <c r="K2206" i="1" s="1"/>
  <c r="J2206" i="1" a="1"/>
  <c r="J2206" i="1" s="1"/>
  <c r="L2200" i="1" a="1"/>
  <c r="L2200" i="1" s="1"/>
  <c r="L2202" i="1" a="1"/>
  <c r="L2202" i="1" s="1"/>
  <c r="L2201" i="1" a="1"/>
  <c r="L2201" i="1" s="1"/>
  <c r="L2194" i="1" a="1"/>
  <c r="L2194" i="1" s="1"/>
  <c r="L2197" i="1" a="1"/>
  <c r="L2197" i="1" s="1"/>
  <c r="K2194" i="1" a="1"/>
  <c r="K2194" i="1" s="1"/>
  <c r="K2191" i="1" a="1"/>
  <c r="K2191" i="1" s="1"/>
  <c r="L2199" i="1" a="1"/>
  <c r="L2199" i="1" s="1"/>
  <c r="K2199" i="1" a="1"/>
  <c r="K2199" i="1" s="1"/>
  <c r="J2199" i="1" a="1"/>
  <c r="J2199" i="1" s="1"/>
  <c r="J2196" i="1" a="1"/>
  <c r="J2196" i="1" s="1"/>
  <c r="J2197" i="1" a="1"/>
  <c r="J2197" i="1" s="1"/>
  <c r="L2198" i="1" a="1"/>
  <c r="L2198" i="1" s="1"/>
  <c r="K2198" i="1" a="1"/>
  <c r="K2198" i="1" s="1"/>
  <c r="J2198" i="1" a="1"/>
  <c r="J2198" i="1" s="1"/>
  <c r="L2196" i="1" a="1"/>
  <c r="L2196" i="1" s="1"/>
  <c r="L2193" i="1" a="1"/>
  <c r="L2193" i="1" s="1"/>
  <c r="J2193" i="1" a="1"/>
  <c r="J2193" i="1" s="1"/>
  <c r="K2192" i="1" a="1"/>
  <c r="K2192" i="1" s="1"/>
  <c r="J2192" i="1" a="1"/>
  <c r="J2192" i="1" s="1"/>
  <c r="J2194" i="1" a="1"/>
  <c r="J2194" i="1" s="1"/>
  <c r="L2195" i="1" a="1"/>
  <c r="L2195" i="1" s="1"/>
  <c r="L2192" i="1" a="1"/>
  <c r="L2192" i="1" s="1"/>
  <c r="K2196" i="1" a="1"/>
  <c r="K2196" i="1" s="1"/>
  <c r="J2195" i="1" a="1"/>
  <c r="J2195" i="1" s="1"/>
  <c r="L2191" i="1" a="1"/>
  <c r="L2191" i="1" s="1"/>
  <c r="K2195" i="1" a="1"/>
  <c r="K2195" i="1" s="1"/>
  <c r="K2197" i="1" a="1"/>
  <c r="K2197" i="1" s="1"/>
  <c r="K2193" i="1" a="1"/>
  <c r="K2193" i="1" s="1"/>
  <c r="K2184" i="1" a="1"/>
  <c r="K2184" i="1" s="1"/>
  <c r="K2182" i="1" a="1"/>
  <c r="K2182" i="1" s="1"/>
  <c r="J2187" i="1" a="1"/>
  <c r="J2187" i="1" s="1"/>
  <c r="L2185" i="1" a="1"/>
  <c r="L2185" i="1" s="1"/>
  <c r="J2184" i="1" a="1"/>
  <c r="J2184" i="1" s="1"/>
  <c r="J2183" i="1" a="1"/>
  <c r="J2183" i="1" s="1"/>
  <c r="L2184" i="1" a="1"/>
  <c r="L2184" i="1" s="1"/>
  <c r="J2191" i="1" a="1"/>
  <c r="J2191" i="1" s="1"/>
  <c r="L2190" i="1" a="1"/>
  <c r="L2190" i="1" s="1"/>
  <c r="K2186" i="1" a="1"/>
  <c r="K2186" i="1" s="1"/>
  <c r="L2187" i="1" a="1"/>
  <c r="L2187" i="1" s="1"/>
  <c r="K2190" i="1" a="1"/>
  <c r="K2190" i="1" s="1"/>
  <c r="J2190" i="1" a="1"/>
  <c r="J2190" i="1" s="1"/>
  <c r="K2188" i="1" a="1"/>
  <c r="K2188" i="1" s="1"/>
  <c r="L2183" i="1" a="1"/>
  <c r="L2183" i="1" s="1"/>
  <c r="J2182" i="1" a="1"/>
  <c r="J2182" i="1" s="1"/>
  <c r="K2185" i="1" a="1"/>
  <c r="K2185" i="1" s="1"/>
  <c r="J2185" i="1" a="1"/>
  <c r="J2185" i="1" s="1"/>
  <c r="K2183" i="1" a="1"/>
  <c r="K2183" i="1" s="1"/>
  <c r="L2182" i="1" a="1"/>
  <c r="L2182" i="1" s="1"/>
  <c r="L2188" i="1" a="1"/>
  <c r="L2188" i="1" s="1"/>
  <c r="K2187" i="1" a="1"/>
  <c r="K2187" i="1" s="1"/>
  <c r="J2188" i="1" a="1"/>
  <c r="J2188" i="1" s="1"/>
  <c r="L2186" i="1" a="1"/>
  <c r="L2186" i="1" s="1"/>
  <c r="J2186" i="1" a="1"/>
  <c r="J2186" i="1" s="1"/>
  <c r="K2179" i="1" a="1"/>
  <c r="K2179" i="1" s="1"/>
  <c r="K2177" i="1" a="1"/>
  <c r="K2177" i="1" s="1"/>
  <c r="J2176" i="1" a="1"/>
  <c r="J2176" i="1" s="1"/>
  <c r="L2174" i="1" a="1"/>
  <c r="L2174" i="1" s="1"/>
  <c r="J2179" i="1" a="1"/>
  <c r="J2179" i="1" s="1"/>
  <c r="J2178" i="1" a="1"/>
  <c r="J2178" i="1" s="1"/>
  <c r="K2173" i="1" a="1"/>
  <c r="K2173" i="1" s="1"/>
  <c r="L2181" i="1" a="1"/>
  <c r="L2181" i="1" s="1"/>
  <c r="K2175" i="1" a="1"/>
  <c r="K2175" i="1" s="1"/>
  <c r="L2175" i="1" a="1"/>
  <c r="L2175" i="1" s="1"/>
  <c r="J2175" i="1" a="1"/>
  <c r="J2175" i="1" s="1"/>
  <c r="K2181" i="1" a="1"/>
  <c r="K2181" i="1" s="1"/>
  <c r="J2181" i="1" a="1"/>
  <c r="J2181" i="1" s="1"/>
  <c r="L2180" i="1" a="1"/>
  <c r="L2180" i="1" s="1"/>
  <c r="J2180" i="1" a="1"/>
  <c r="J2180" i="1" s="1"/>
  <c r="L2179" i="1" a="1"/>
  <c r="L2179" i="1" s="1"/>
  <c r="K2176" i="1" a="1"/>
  <c r="K2176" i="1" s="1"/>
  <c r="K2178" i="1" a="1"/>
  <c r="K2178" i="1" s="1"/>
  <c r="L2178" i="1" a="1"/>
  <c r="L2178" i="1" s="1"/>
  <c r="J2173" i="1" a="1"/>
  <c r="J2173" i="1" s="1"/>
  <c r="K2174" i="1" a="1"/>
  <c r="K2174" i="1" s="1"/>
  <c r="L2176" i="1" a="1"/>
  <c r="L2176" i="1" s="1"/>
  <c r="J2174" i="1" a="1"/>
  <c r="J2174" i="1" s="1"/>
  <c r="J2177" i="1" a="1"/>
  <c r="J2177" i="1" s="1"/>
  <c r="K2180" i="1" a="1"/>
  <c r="K2180" i="1" s="1"/>
  <c r="L2173" i="1" a="1"/>
  <c r="L2173" i="1" s="1"/>
  <c r="L2177" i="1" a="1"/>
  <c r="L2177" i="1" s="1"/>
  <c r="L2163" i="1" a="1"/>
  <c r="L2163" i="1" s="1"/>
  <c r="J2163" i="1" a="1"/>
  <c r="J2163" i="1" s="1"/>
  <c r="K2172" i="1" a="1"/>
  <c r="K2172" i="1" s="1"/>
  <c r="L2166" i="1" a="1"/>
  <c r="L2166" i="1" s="1"/>
  <c r="J2172" i="1" a="1"/>
  <c r="J2172" i="1" s="1"/>
  <c r="K2170" i="1" a="1"/>
  <c r="K2170" i="1" s="1"/>
  <c r="L2171" i="1" a="1"/>
  <c r="L2171" i="1" s="1"/>
  <c r="J2167" i="1" a="1"/>
  <c r="J2167" i="1" s="1"/>
  <c r="K2171" i="1" a="1"/>
  <c r="K2171" i="1" s="1"/>
  <c r="J2171" i="1" a="1"/>
  <c r="J2171" i="1" s="1"/>
  <c r="K2168" i="1" a="1"/>
  <c r="K2168" i="1" s="1"/>
  <c r="K2163" i="1" a="1"/>
  <c r="K2163" i="1" s="1"/>
  <c r="L2170" i="1" a="1"/>
  <c r="L2170" i="1" s="1"/>
  <c r="J2170" i="1" a="1"/>
  <c r="J2170" i="1" s="1"/>
  <c r="L2169" i="1" a="1"/>
  <c r="L2169" i="1" s="1"/>
  <c r="L2168" i="1" a="1"/>
  <c r="L2168" i="1" s="1"/>
  <c r="J2168" i="1" a="1"/>
  <c r="J2168" i="1" s="1"/>
  <c r="L2167" i="1" a="1"/>
  <c r="L2167" i="1" s="1"/>
  <c r="J2169" i="1" a="1"/>
  <c r="J2169" i="1" s="1"/>
  <c r="K2166" i="1" a="1"/>
  <c r="K2166" i="1" s="1"/>
  <c r="J2166" i="1" a="1"/>
  <c r="J2166" i="1" s="1"/>
  <c r="J2164" i="1" a="1"/>
  <c r="J2164" i="1" s="1"/>
  <c r="K2167" i="1" a="1"/>
  <c r="K2167" i="1" s="1"/>
  <c r="K2169" i="1" a="1"/>
  <c r="K2169" i="1" s="1"/>
  <c r="L2164" i="1" a="1"/>
  <c r="L2164" i="1" s="1"/>
  <c r="L2172" i="1" a="1"/>
  <c r="L2172" i="1" s="1"/>
  <c r="K2164" i="1" a="1"/>
  <c r="K2164" i="1" s="1"/>
  <c r="K2159" i="1" a="1"/>
  <c r="K2159" i="1" s="1"/>
  <c r="K2157" i="1" a="1"/>
  <c r="K2157" i="1" s="1"/>
  <c r="L2157" i="1" a="1"/>
  <c r="L2157" i="1" s="1"/>
  <c r="K2158" i="1" a="1"/>
  <c r="K2158" i="1" s="1"/>
  <c r="J2159" i="1" a="1"/>
  <c r="J2159" i="1" s="1"/>
  <c r="L2160" i="1" a="1"/>
  <c r="L2160" i="1" s="1"/>
  <c r="K2160" i="1" a="1"/>
  <c r="K2160" i="1" s="1"/>
  <c r="K2162" i="1" a="1"/>
  <c r="K2162" i="1" s="1"/>
  <c r="J2162" i="1" a="1"/>
  <c r="J2162" i="1" s="1"/>
  <c r="K2156" i="1" a="1"/>
  <c r="K2156" i="1" s="1"/>
  <c r="L2161" i="1" a="1"/>
  <c r="L2161" i="1" s="1"/>
  <c r="K2161" i="1" a="1"/>
  <c r="K2161" i="1" s="1"/>
  <c r="K2155" i="1" a="1"/>
  <c r="K2155" i="1" s="1"/>
  <c r="L2159" i="1" a="1"/>
  <c r="L2159" i="1" s="1"/>
  <c r="J2154" i="1" a="1"/>
  <c r="J2154" i="1" s="1"/>
  <c r="L2158" i="1" a="1"/>
  <c r="L2158" i="1" s="1"/>
  <c r="K2154" i="1" a="1"/>
  <c r="K2154" i="1" s="1"/>
  <c r="L2155" i="1" a="1"/>
  <c r="L2155" i="1" s="1"/>
  <c r="J2156" i="1" a="1"/>
  <c r="J2156" i="1" s="1"/>
  <c r="J2157" i="1" a="1"/>
  <c r="J2157" i="1" s="1"/>
  <c r="L2162" i="1" a="1"/>
  <c r="L2162" i="1" s="1"/>
  <c r="J2161" i="1" a="1"/>
  <c r="J2161" i="1" s="1"/>
  <c r="J2160" i="1" a="1"/>
  <c r="J2160" i="1" s="1"/>
  <c r="J2155" i="1" a="1"/>
  <c r="J2155" i="1" s="1"/>
  <c r="J2158" i="1" a="1"/>
  <c r="J2158" i="1" s="1"/>
  <c r="L2156" i="1" a="1"/>
  <c r="L2156" i="1" s="1"/>
  <c r="L2154" i="1" a="1"/>
  <c r="L2154" i="1" s="1"/>
  <c r="K2153" i="1" a="1"/>
  <c r="K2153" i="1" s="1"/>
  <c r="J2151" i="1" a="1"/>
  <c r="J2151" i="1" s="1"/>
  <c r="L2150" i="1" a="1"/>
  <c r="L2150" i="1" s="1"/>
  <c r="L2149" i="1" a="1"/>
  <c r="L2149" i="1" s="1"/>
  <c r="L2145" i="1" a="1"/>
  <c r="L2145" i="1" s="1"/>
  <c r="J2146" i="1" a="1"/>
  <c r="J2146" i="1" s="1"/>
  <c r="J2147" i="1" a="1"/>
  <c r="J2147" i="1" s="1"/>
  <c r="K2148" i="1" a="1"/>
  <c r="K2148" i="1" s="1"/>
  <c r="J2150" i="1" a="1"/>
  <c r="J2150" i="1" s="1"/>
  <c r="L2146" i="1" a="1"/>
  <c r="L2146" i="1" s="1"/>
  <c r="L2152" i="1" a="1"/>
  <c r="L2152" i="1" s="1"/>
  <c r="K2146" i="1" a="1"/>
  <c r="K2146" i="1" s="1"/>
  <c r="K2151" i="1" a="1"/>
  <c r="K2151" i="1" s="1"/>
  <c r="L2148" i="1" a="1"/>
  <c r="L2148" i="1" s="1"/>
  <c r="K2150" i="1" a="1"/>
  <c r="K2150" i="1" s="1"/>
  <c r="J2145" i="1" a="1"/>
  <c r="J2145" i="1" s="1"/>
  <c r="L2153" i="1" a="1"/>
  <c r="L2153" i="1" s="1"/>
  <c r="J2153" i="1" a="1"/>
  <c r="J2153" i="1" s="1"/>
  <c r="K2152" i="1" a="1"/>
  <c r="K2152" i="1" s="1"/>
  <c r="J2152" i="1" a="1"/>
  <c r="J2152" i="1" s="1"/>
  <c r="K2145" i="1" a="1"/>
  <c r="K2145" i="1" s="1"/>
  <c r="K2149" i="1" a="1"/>
  <c r="K2149" i="1" s="1"/>
  <c r="L2147" i="1" a="1"/>
  <c r="L2147" i="1" s="1"/>
  <c r="J2149" i="1" a="1"/>
  <c r="J2149" i="1" s="1"/>
  <c r="K2147" i="1" a="1"/>
  <c r="K2147" i="1" s="1"/>
  <c r="J2148" i="1" a="1"/>
  <c r="J2148" i="1" s="1"/>
  <c r="L2151" i="1" a="1"/>
  <c r="L2151" i="1" s="1"/>
  <c r="J1201" i="1" a="1"/>
  <c r="J1201" i="1" s="1"/>
  <c r="K1200" i="1" a="1"/>
  <c r="K1200" i="1" s="1"/>
  <c r="L1200" i="1" a="1"/>
  <c r="L1200" i="1" s="1"/>
  <c r="L1201" i="1" a="1"/>
  <c r="L1201" i="1" s="1"/>
  <c r="K1201" i="1" a="1"/>
  <c r="K1201" i="1" s="1"/>
  <c r="L1199" i="1" a="1"/>
  <c r="L1199" i="1" s="1"/>
  <c r="L1195" i="1" a="1"/>
  <c r="L1195" i="1" s="1"/>
  <c r="L1197" i="1" a="1"/>
  <c r="L1197" i="1" s="1"/>
  <c r="K1199" i="1" a="1"/>
  <c r="K1199" i="1" s="1"/>
  <c r="J1199" i="1" a="1"/>
  <c r="J1199" i="1" s="1"/>
  <c r="J1197" i="1" a="1"/>
  <c r="J1197" i="1" s="1"/>
  <c r="L1198" i="1" a="1"/>
  <c r="L1198" i="1" s="1"/>
  <c r="K1198" i="1" a="1"/>
  <c r="K1198" i="1" s="1"/>
  <c r="J1198" i="1" a="1"/>
  <c r="J1198" i="1" s="1"/>
  <c r="L1196" i="1" a="1"/>
  <c r="L1196" i="1" s="1"/>
  <c r="J1195" i="1" a="1"/>
  <c r="J1195" i="1" s="1"/>
  <c r="K1196" i="1" a="1"/>
  <c r="K1196" i="1" s="1"/>
  <c r="K1195" i="1" a="1"/>
  <c r="K1195" i="1" s="1"/>
  <c r="J1196" i="1" a="1"/>
  <c r="J1196" i="1" s="1"/>
  <c r="K1197" i="1" a="1"/>
  <c r="K1197" i="1" s="1"/>
  <c r="J1200" i="1" a="1"/>
  <c r="J1200" i="1" s="1"/>
  <c r="L1194" i="1" a="1"/>
  <c r="L1194" i="1" s="1"/>
  <c r="K1194" i="1" a="1"/>
  <c r="K1194" i="1" s="1"/>
  <c r="L1193" i="1" a="1"/>
  <c r="L1193" i="1" s="1"/>
  <c r="J1193" i="1" a="1"/>
  <c r="J1193" i="1" s="1"/>
  <c r="K1192" i="1" a="1"/>
  <c r="K1192" i="1" s="1"/>
  <c r="L1192" i="1" a="1"/>
  <c r="L1192" i="1" s="1"/>
  <c r="J1194" i="1" a="1"/>
  <c r="J1194" i="1" s="1"/>
  <c r="K1193" i="1" a="1"/>
  <c r="K1193" i="1" s="1"/>
  <c r="J1187" i="1" a="1"/>
  <c r="J1187" i="1" s="1"/>
  <c r="L1188" i="1" a="1"/>
  <c r="L1188" i="1" s="1"/>
  <c r="L1191" i="1" a="1"/>
  <c r="L1191" i="1" s="1"/>
  <c r="K1191" i="1" a="1"/>
  <c r="K1191" i="1" s="1"/>
  <c r="J1191" i="1" a="1"/>
  <c r="J1191" i="1" s="1"/>
  <c r="K1186" i="1" a="1"/>
  <c r="K1186" i="1" s="1"/>
  <c r="J1189" i="1" a="1"/>
  <c r="J1189" i="1" s="1"/>
  <c r="K1188" i="1" a="1"/>
  <c r="K1188" i="1" s="1"/>
  <c r="L1186" i="1" a="1"/>
  <c r="L1186" i="1" s="1"/>
  <c r="K1190" i="1" a="1"/>
  <c r="K1190" i="1" s="1"/>
  <c r="K1189" i="1" a="1"/>
  <c r="K1189" i="1" s="1"/>
  <c r="L1185" i="1" a="1"/>
  <c r="L1185" i="1" s="1"/>
  <c r="L1189" i="1" a="1"/>
  <c r="L1189" i="1" s="1"/>
  <c r="L1187" i="1" a="1"/>
  <c r="L1187" i="1" s="1"/>
  <c r="K1187" i="1" a="1"/>
  <c r="K1187" i="1" s="1"/>
  <c r="J1190" i="1" a="1"/>
  <c r="J1190" i="1" s="1"/>
  <c r="J1185" i="1" a="1"/>
  <c r="J1185" i="1" s="1"/>
  <c r="J1188" i="1" a="1"/>
  <c r="J1188" i="1" s="1"/>
  <c r="J1186" i="1" a="1"/>
  <c r="J1186" i="1" s="1"/>
  <c r="J1192" i="1" a="1"/>
  <c r="J1192" i="1" s="1"/>
  <c r="K1185" i="1" a="1"/>
  <c r="K1185" i="1" s="1"/>
  <c r="L1190" i="1" a="1"/>
  <c r="L1190" i="1" s="1"/>
  <c r="J1179" i="1" a="1"/>
  <c r="J1179" i="1" s="1"/>
  <c r="J1177" i="1" a="1"/>
  <c r="J1177" i="1" s="1"/>
  <c r="L1176" i="1" a="1"/>
  <c r="L1176" i="1" s="1"/>
  <c r="K1176" i="1" a="1"/>
  <c r="K1176" i="1" s="1"/>
  <c r="J1176" i="1" a="1"/>
  <c r="J1176" i="1" s="1"/>
  <c r="K1175" i="1" a="1"/>
  <c r="K1175" i="1" s="1"/>
  <c r="L1175" i="1" a="1"/>
  <c r="L1175" i="1" s="1"/>
  <c r="L1173" i="1" a="1"/>
  <c r="L1173" i="1" s="1"/>
  <c r="K1174" i="1" a="1"/>
  <c r="K1174" i="1" s="1"/>
  <c r="L1177" i="1" a="1"/>
  <c r="L1177" i="1" s="1"/>
  <c r="K1179" i="1" a="1"/>
  <c r="K1179" i="1" s="1"/>
  <c r="J1178" i="1" a="1"/>
  <c r="J1178" i="1" s="1"/>
  <c r="J1175" i="1" a="1"/>
  <c r="J1175" i="1" s="1"/>
  <c r="L1174" i="1" a="1"/>
  <c r="L1174" i="1" s="1"/>
  <c r="J1173" i="1" a="1"/>
  <c r="J1173" i="1" s="1"/>
  <c r="K1177" i="1" a="1"/>
  <c r="K1177" i="1" s="1"/>
  <c r="K1173" i="1" a="1"/>
  <c r="K1173" i="1" s="1"/>
  <c r="J1174" i="1" a="1"/>
  <c r="J1174" i="1" s="1"/>
  <c r="L1179" i="1" a="1"/>
  <c r="L1179" i="1" s="1"/>
  <c r="L1178" i="1" a="1"/>
  <c r="L1178" i="1" s="1"/>
  <c r="K1178" i="1" a="1"/>
  <c r="K1178" i="1" s="1"/>
  <c r="J1170" i="1" a="1"/>
  <c r="J1170" i="1" s="1"/>
  <c r="L1169" i="1" a="1"/>
  <c r="L1169" i="1" s="1"/>
  <c r="K1168" i="1" a="1"/>
  <c r="K1168" i="1" s="1"/>
  <c r="J1168" i="1" a="1"/>
  <c r="J1168" i="1" s="1"/>
  <c r="L1166" i="1" a="1"/>
  <c r="L1166" i="1" s="1"/>
  <c r="K1166" i="1" a="1"/>
  <c r="K1166" i="1" s="1"/>
  <c r="L1164" i="1" a="1"/>
  <c r="L1164" i="1" s="1"/>
  <c r="L1167" i="1" a="1"/>
  <c r="L1167" i="1" s="1"/>
  <c r="K1169" i="1" a="1"/>
  <c r="K1169" i="1" s="1"/>
  <c r="K1171" i="1" a="1"/>
  <c r="K1171" i="1" s="1"/>
  <c r="J1169" i="1" a="1"/>
  <c r="J1169" i="1" s="1"/>
  <c r="K1170" i="1" a="1"/>
  <c r="K1170" i="1" s="1"/>
  <c r="J1167" i="1" a="1"/>
  <c r="J1167" i="1" s="1"/>
  <c r="L1172" i="1" a="1"/>
  <c r="L1172" i="1" s="1"/>
  <c r="J1172" i="1" a="1"/>
  <c r="J1172" i="1" s="1"/>
  <c r="J1171" i="1" a="1"/>
  <c r="J1171" i="1" s="1"/>
  <c r="L1168" i="1" a="1"/>
  <c r="L1168" i="1" s="1"/>
  <c r="L1170" i="1" a="1"/>
  <c r="L1170" i="1" s="1"/>
  <c r="K1167" i="1" a="1"/>
  <c r="K1167" i="1" s="1"/>
  <c r="K1172" i="1" a="1"/>
  <c r="K1172" i="1" s="1"/>
  <c r="J1166" i="1" a="1"/>
  <c r="J1166" i="1" s="1"/>
  <c r="L1165" i="1" a="1"/>
  <c r="L1165" i="1" s="1"/>
  <c r="K1164" i="1" a="1"/>
  <c r="K1164" i="1" s="1"/>
  <c r="K1165" i="1" a="1"/>
  <c r="K1165" i="1" s="1"/>
  <c r="J1165" i="1" a="1"/>
  <c r="J1165" i="1" s="1"/>
  <c r="L1171" i="1" a="1"/>
  <c r="L1171" i="1" s="1"/>
  <c r="L1163" i="1" a="1"/>
  <c r="L1163" i="1" s="1"/>
  <c r="K1163" i="1" a="1"/>
  <c r="K1163" i="1" s="1"/>
  <c r="J1163" i="1" a="1"/>
  <c r="J1163" i="1" s="1"/>
  <c r="K1156" i="1" a="1"/>
  <c r="K1156" i="1" s="1"/>
  <c r="J1156" i="1" a="1"/>
  <c r="J1156" i="1" s="1"/>
  <c r="L1162" i="1" a="1"/>
  <c r="L1162" i="1" s="1"/>
  <c r="J1155" i="1" a="1"/>
  <c r="J1155" i="1" s="1"/>
  <c r="K1162" i="1" a="1"/>
  <c r="K1162" i="1" s="1"/>
  <c r="K1155" i="1" a="1"/>
  <c r="K1155" i="1" s="1"/>
  <c r="J1162" i="1" a="1"/>
  <c r="J1162" i="1" s="1"/>
  <c r="L1155" i="1" a="1"/>
  <c r="L1155" i="1" s="1"/>
  <c r="J1154" i="1" a="1"/>
  <c r="J1154" i="1" s="1"/>
  <c r="L1154" i="1" a="1"/>
  <c r="L1154" i="1" s="1"/>
  <c r="L1156" i="1" a="1"/>
  <c r="L1156" i="1" s="1"/>
  <c r="K1154" i="1" a="1"/>
  <c r="K1154" i="1" s="1"/>
  <c r="J1164" i="1" a="1"/>
  <c r="J1164" i="1" s="1"/>
  <c r="J1149" i="1" a="1"/>
  <c r="J1149" i="1" s="1"/>
  <c r="L1143" i="1" a="1"/>
  <c r="L1143" i="1" s="1"/>
  <c r="L1150" i="1" a="1"/>
  <c r="L1150" i="1" s="1"/>
  <c r="K1147" i="1" a="1"/>
  <c r="K1147" i="1" s="1"/>
  <c r="L1149" i="1" a="1"/>
  <c r="L1149" i="1" s="1"/>
  <c r="J1148" i="1" a="1"/>
  <c r="J1148" i="1" s="1"/>
  <c r="K1146" i="1" a="1"/>
  <c r="K1146" i="1" s="1"/>
  <c r="J1144" i="1" a="1"/>
  <c r="J1144" i="1" s="1"/>
  <c r="J1146" i="1" a="1"/>
  <c r="J1146" i="1" s="1"/>
  <c r="L1148" i="1" a="1"/>
  <c r="L1148" i="1" s="1"/>
  <c r="K1143" i="1" a="1"/>
  <c r="K1143" i="1" s="1"/>
  <c r="K1149" i="1" a="1"/>
  <c r="K1149" i="1" s="1"/>
  <c r="K1148" i="1" a="1"/>
  <c r="K1148" i="1" s="1"/>
  <c r="J1143" i="1" a="1"/>
  <c r="J1143" i="1" s="1"/>
  <c r="K1150" i="1" a="1"/>
  <c r="K1150" i="1" s="1"/>
  <c r="J1150" i="1" a="1"/>
  <c r="J1150" i="1" s="1"/>
  <c r="L1144" i="1" a="1"/>
  <c r="L1144" i="1" s="1"/>
  <c r="L1145" i="1" a="1"/>
  <c r="L1145" i="1" s="1"/>
  <c r="J1147" i="1" a="1"/>
  <c r="J1147" i="1" s="1"/>
  <c r="J1145" i="1" a="1"/>
  <c r="J1145" i="1" s="1"/>
  <c r="K1144" i="1" a="1"/>
  <c r="K1144" i="1" s="1"/>
  <c r="L1146" i="1" a="1"/>
  <c r="L1146" i="1" s="1"/>
  <c r="K1145" i="1" a="1"/>
  <c r="K1145" i="1" s="1"/>
  <c r="L1153" i="1" a="1"/>
  <c r="L1153" i="1" s="1"/>
  <c r="K1153" i="1" a="1"/>
  <c r="K1153" i="1" s="1"/>
  <c r="L1147" i="1" a="1"/>
  <c r="L1147" i="1" s="1"/>
  <c r="J1153" i="1" a="1"/>
  <c r="J1153" i="1" s="1"/>
  <c r="L1138" i="1" a="1"/>
  <c r="L1138" i="1" s="1"/>
  <c r="L1139" i="1" a="1"/>
  <c r="L1139" i="1" s="1"/>
  <c r="L1141" i="1" a="1"/>
  <c r="L1141" i="1" s="1"/>
  <c r="J1141" i="1" a="1"/>
  <c r="J1141" i="1" s="1"/>
  <c r="L1142" i="1" a="1"/>
  <c r="L1142" i="1" s="1"/>
  <c r="K1142" i="1" a="1"/>
  <c r="K1142" i="1" s="1"/>
  <c r="K1140" i="1" a="1"/>
  <c r="K1140" i="1" s="1"/>
  <c r="K1141" i="1" a="1"/>
  <c r="K1141" i="1" s="1"/>
  <c r="J1140" i="1" a="1"/>
  <c r="J1140" i="1" s="1"/>
  <c r="L1140" i="1" a="1"/>
  <c r="L1140" i="1" s="1"/>
  <c r="J1139" i="1" a="1"/>
  <c r="J1139" i="1" s="1"/>
  <c r="J1138" i="1" a="1"/>
  <c r="J1138" i="1" s="1"/>
  <c r="K1138" i="1" a="1"/>
  <c r="K1138" i="1" s="1"/>
  <c r="K1139" i="1" a="1"/>
  <c r="K1139" i="1" s="1"/>
  <c r="J1142" i="1" a="1"/>
  <c r="J1142" i="1" s="1"/>
  <c r="K1987" i="1" a="1"/>
  <c r="K1987" i="1" s="1"/>
  <c r="L1990" i="1" a="1"/>
  <c r="L1990" i="1" s="1"/>
  <c r="J1987" i="1" a="1"/>
  <c r="J1987" i="1" s="1"/>
  <c r="L1992" i="1" a="1"/>
  <c r="L1992" i="1" s="1"/>
  <c r="K1992" i="1" a="1"/>
  <c r="K1992" i="1" s="1"/>
  <c r="L1991" i="1" a="1"/>
  <c r="L1991" i="1" s="1"/>
  <c r="J1990" i="1" a="1"/>
  <c r="J1990" i="1" s="1"/>
  <c r="J1989" i="1" a="1"/>
  <c r="J1989" i="1" s="1"/>
  <c r="K1991" i="1" a="1"/>
  <c r="K1991" i="1" s="1"/>
  <c r="J1991" i="1" a="1"/>
  <c r="J1991" i="1" s="1"/>
  <c r="L1989" i="1" a="1"/>
  <c r="L1989" i="1" s="1"/>
  <c r="K1988" i="1" a="1"/>
  <c r="K1988" i="1" s="1"/>
  <c r="L1987" i="1" a="1"/>
  <c r="L1987" i="1" s="1"/>
  <c r="L1988" i="1" a="1"/>
  <c r="L1988" i="1" s="1"/>
  <c r="K1989" i="1" a="1"/>
  <c r="K1989" i="1" s="1"/>
  <c r="J1988" i="1" a="1"/>
  <c r="J1988" i="1" s="1"/>
  <c r="J1992" i="1" a="1"/>
  <c r="J1992" i="1" s="1"/>
  <c r="K1990" i="1" a="1"/>
  <c r="K1990" i="1" s="1"/>
  <c r="K1980" i="1" a="1"/>
  <c r="K1980" i="1" s="1"/>
  <c r="J1982" i="1" a="1"/>
  <c r="J1982" i="1" s="1"/>
  <c r="J1979" i="1" a="1"/>
  <c r="J1979" i="1" s="1"/>
  <c r="L1984" i="1" a="1"/>
  <c r="L1984" i="1" s="1"/>
  <c r="K1984" i="1" a="1"/>
  <c r="K1984" i="1" s="1"/>
  <c r="L1983" i="1" a="1"/>
  <c r="L1983" i="1" s="1"/>
  <c r="K1983" i="1" a="1"/>
  <c r="K1983" i="1" s="1"/>
  <c r="J1980" i="1" a="1"/>
  <c r="J1980" i="1" s="1"/>
  <c r="J1981" i="1" a="1"/>
  <c r="J1981" i="1" s="1"/>
  <c r="K1982" i="1" a="1"/>
  <c r="K1982" i="1" s="1"/>
  <c r="L1981" i="1" a="1"/>
  <c r="L1981" i="1" s="1"/>
  <c r="L1979" i="1" a="1"/>
  <c r="L1979" i="1" s="1"/>
  <c r="K1979" i="1" a="1"/>
  <c r="K1979" i="1" s="1"/>
  <c r="L1986" i="1" a="1"/>
  <c r="L1986" i="1" s="1"/>
  <c r="K1986" i="1" a="1"/>
  <c r="K1986" i="1" s="1"/>
  <c r="L1985" i="1" a="1"/>
  <c r="L1985" i="1" s="1"/>
  <c r="J1984" i="1" a="1"/>
  <c r="J1984" i="1" s="1"/>
  <c r="L1982" i="1" a="1"/>
  <c r="L1982" i="1" s="1"/>
  <c r="J1985" i="1" a="1"/>
  <c r="J1985" i="1" s="1"/>
  <c r="K1981" i="1" a="1"/>
  <c r="K1981" i="1" s="1"/>
  <c r="J1986" i="1" a="1"/>
  <c r="J1986" i="1" s="1"/>
  <c r="J1983" i="1" a="1"/>
  <c r="J1983" i="1" s="1"/>
  <c r="K1985" i="1" a="1"/>
  <c r="K1985" i="1" s="1"/>
  <c r="L1980" i="1" a="1"/>
  <c r="L1980" i="1" s="1"/>
  <c r="K1973" i="1" a="1"/>
  <c r="K1973" i="1" s="1"/>
  <c r="J1975" i="1" a="1"/>
  <c r="J1975" i="1" s="1"/>
  <c r="K1970" i="1" a="1"/>
  <c r="K1970" i="1" s="1"/>
  <c r="L1969" i="1" a="1"/>
  <c r="L1969" i="1" s="1"/>
  <c r="L1973" i="1" a="1"/>
  <c r="L1973" i="1" s="1"/>
  <c r="L1970" i="1" a="1"/>
  <c r="L1970" i="1" s="1"/>
  <c r="K1972" i="1" a="1"/>
  <c r="K1972" i="1" s="1"/>
  <c r="L1971" i="1" a="1"/>
  <c r="L1971" i="1" s="1"/>
  <c r="K1971" i="1" a="1"/>
  <c r="K1971" i="1" s="1"/>
  <c r="K1976" i="1" a="1"/>
  <c r="K1976" i="1" s="1"/>
  <c r="J1972" i="1" a="1"/>
  <c r="J1972" i="1" s="1"/>
  <c r="L1977" i="1" a="1"/>
  <c r="L1977" i="1" s="1"/>
  <c r="K1977" i="1" a="1"/>
  <c r="K1977" i="1" s="1"/>
  <c r="J1977" i="1" a="1"/>
  <c r="J1977" i="1" s="1"/>
  <c r="K1969" i="1" a="1"/>
  <c r="K1969" i="1" s="1"/>
  <c r="L1976" i="1" a="1"/>
  <c r="L1976" i="1" s="1"/>
  <c r="L1975" i="1" a="1"/>
  <c r="L1975" i="1" s="1"/>
  <c r="L1972" i="1" a="1"/>
  <c r="L1972" i="1" s="1"/>
  <c r="K1975" i="1" a="1"/>
  <c r="K1975" i="1" s="1"/>
  <c r="J1970" i="1" a="1"/>
  <c r="J1970" i="1" s="1"/>
  <c r="J1974" i="1" a="1"/>
  <c r="J1974" i="1" s="1"/>
  <c r="L1974" i="1" a="1"/>
  <c r="L1974" i="1" s="1"/>
  <c r="J1971" i="1" a="1"/>
  <c r="J1971" i="1" s="1"/>
  <c r="K1974" i="1" a="1"/>
  <c r="K1974" i="1" s="1"/>
  <c r="J1973" i="1" a="1"/>
  <c r="J1973" i="1" s="1"/>
  <c r="J1976" i="1" a="1"/>
  <c r="J1976" i="1" s="1"/>
  <c r="L1967" i="1" a="1"/>
  <c r="L1967" i="1" s="1"/>
  <c r="J1968" i="1" a="1"/>
  <c r="J1968" i="1" s="1"/>
  <c r="K1962" i="1" a="1"/>
  <c r="K1962" i="1" s="1"/>
  <c r="J1969" i="1" a="1"/>
  <c r="J1969" i="1" s="1"/>
  <c r="L1962" i="1" a="1"/>
  <c r="L1962" i="1" s="1"/>
  <c r="L1964" i="1" a="1"/>
  <c r="L1964" i="1" s="1"/>
  <c r="J1961" i="1" a="1"/>
  <c r="J1961" i="1" s="1"/>
  <c r="L1968" i="1" a="1"/>
  <c r="L1968" i="1" s="1"/>
  <c r="K1968" i="1" a="1"/>
  <c r="K1968" i="1" s="1"/>
  <c r="K1961" i="1" a="1"/>
  <c r="K1961" i="1" s="1"/>
  <c r="J1967" i="1" a="1"/>
  <c r="J1967" i="1" s="1"/>
  <c r="L1966" i="1" a="1"/>
  <c r="L1966" i="1" s="1"/>
  <c r="J1962" i="1" a="1"/>
  <c r="J1962" i="1" s="1"/>
  <c r="J1966" i="1" a="1"/>
  <c r="J1966" i="1" s="1"/>
  <c r="K1964" i="1" a="1"/>
  <c r="K1964" i="1" s="1"/>
  <c r="J1964" i="1" a="1"/>
  <c r="J1964" i="1" s="1"/>
  <c r="L1961" i="1" a="1"/>
  <c r="L1961" i="1" s="1"/>
  <c r="K1965" i="1" a="1"/>
  <c r="K1965" i="1" s="1"/>
  <c r="J1965" i="1" a="1"/>
  <c r="J1965" i="1" s="1"/>
  <c r="J1963" i="1" a="1"/>
  <c r="J1963" i="1" s="1"/>
  <c r="K1963" i="1" a="1"/>
  <c r="K1963" i="1" s="1"/>
  <c r="L1960" i="1" a="1"/>
  <c r="L1960" i="1" s="1"/>
  <c r="K1967" i="1" a="1"/>
  <c r="K1967" i="1" s="1"/>
  <c r="J1960" i="1" a="1"/>
  <c r="J1960" i="1" s="1"/>
  <c r="K1966" i="1" a="1"/>
  <c r="K1966" i="1" s="1"/>
  <c r="L1965" i="1" a="1"/>
  <c r="L1965" i="1" s="1"/>
  <c r="K1960" i="1" a="1"/>
  <c r="K1960" i="1" s="1"/>
  <c r="L1963" i="1" a="1"/>
  <c r="L1963" i="1" s="1"/>
  <c r="K1956" i="1" a="1"/>
  <c r="K1956" i="1" s="1"/>
  <c r="K1955" i="1" a="1"/>
  <c r="K1955" i="1" s="1"/>
  <c r="J1956" i="1" a="1"/>
  <c r="J1956" i="1" s="1"/>
  <c r="L1952" i="1" a="1"/>
  <c r="L1952" i="1" s="1"/>
  <c r="L1951" i="1" a="1"/>
  <c r="L1951" i="1" s="1"/>
  <c r="J1952" i="1" a="1"/>
  <c r="J1952" i="1" s="1"/>
  <c r="K1957" i="1" a="1"/>
  <c r="K1957" i="1" s="1"/>
  <c r="L1955" i="1" a="1"/>
  <c r="L1955" i="1" s="1"/>
  <c r="L1958" i="1" a="1"/>
  <c r="L1958" i="1" s="1"/>
  <c r="L1959" i="1" a="1"/>
  <c r="L1959" i="1" s="1"/>
  <c r="K1952" i="1" a="1"/>
  <c r="K1952" i="1" s="1"/>
  <c r="K1959" i="1" a="1"/>
  <c r="K1959" i="1" s="1"/>
  <c r="J1959" i="1" a="1"/>
  <c r="J1959" i="1" s="1"/>
  <c r="L1953" i="1" a="1"/>
  <c r="L1953" i="1" s="1"/>
  <c r="J1958" i="1" a="1"/>
  <c r="J1958" i="1" s="1"/>
  <c r="J1953" i="1" a="1"/>
  <c r="J1953" i="1" s="1"/>
  <c r="L1956" i="1" a="1"/>
  <c r="L1956" i="1" s="1"/>
  <c r="L1957" i="1" a="1"/>
  <c r="L1957" i="1" s="1"/>
  <c r="J1951" i="1" a="1"/>
  <c r="J1951" i="1" s="1"/>
  <c r="K1958" i="1" a="1"/>
  <c r="K1958" i="1" s="1"/>
  <c r="J1957" i="1" a="1"/>
  <c r="J1957" i="1" s="1"/>
  <c r="K1953" i="1" a="1"/>
  <c r="K1953" i="1" s="1"/>
  <c r="K1951" i="1" a="1"/>
  <c r="K1951" i="1" s="1"/>
  <c r="J1955" i="1" a="1"/>
  <c r="J1955" i="1" s="1"/>
  <c r="K1945" i="1" a="1"/>
  <c r="K1945" i="1" s="1"/>
  <c r="L1949" i="1" a="1"/>
  <c r="L1949" i="1" s="1"/>
  <c r="K1947" i="1" a="1"/>
  <c r="K1947" i="1" s="1"/>
  <c r="L1944" i="1" a="1"/>
  <c r="L1944" i="1" s="1"/>
  <c r="J1944" i="1" a="1"/>
  <c r="J1944" i="1" s="1"/>
  <c r="J1943" i="1" a="1"/>
  <c r="J1943" i="1" s="1"/>
  <c r="L1950" i="1" a="1"/>
  <c r="L1950" i="1" s="1"/>
  <c r="K1950" i="1" a="1"/>
  <c r="K1950" i="1" s="1"/>
  <c r="J1950" i="1" a="1"/>
  <c r="J1950" i="1" s="1"/>
  <c r="K1949" i="1" a="1"/>
  <c r="K1949" i="1" s="1"/>
  <c r="K1944" i="1" a="1"/>
  <c r="K1944" i="1" s="1"/>
  <c r="L1945" i="1" a="1"/>
  <c r="L1945" i="1" s="1"/>
  <c r="K1948" i="1" a="1"/>
  <c r="K1948" i="1" s="1"/>
  <c r="J1947" i="1" a="1"/>
  <c r="J1947" i="1" s="1"/>
  <c r="L1942" i="1" a="1"/>
  <c r="L1942" i="1" s="1"/>
  <c r="L1946" i="1" a="1"/>
  <c r="L1946" i="1" s="1"/>
  <c r="J1946" i="1" a="1"/>
  <c r="J1946" i="1" s="1"/>
  <c r="J1948" i="1" a="1"/>
  <c r="J1948" i="1" s="1"/>
  <c r="K1946" i="1" a="1"/>
  <c r="K1946" i="1" s="1"/>
  <c r="L1943" i="1" a="1"/>
  <c r="L1943" i="1" s="1"/>
  <c r="K1942" i="1" a="1"/>
  <c r="K1942" i="1" s="1"/>
  <c r="J1945" i="1" a="1"/>
  <c r="J1945" i="1" s="1"/>
  <c r="J1949" i="1" a="1"/>
  <c r="J1949" i="1" s="1"/>
  <c r="J1942" i="1" a="1"/>
  <c r="J1942" i="1" s="1"/>
  <c r="K1943" i="1" a="1"/>
  <c r="K1943" i="1" s="1"/>
  <c r="L1948" i="1" a="1"/>
  <c r="L1948" i="1" s="1"/>
  <c r="L1947" i="1" a="1"/>
  <c r="L1947" i="1" s="1"/>
  <c r="K1940" i="1" a="1"/>
  <c r="K1940" i="1" s="1"/>
  <c r="K1934" i="1" a="1"/>
  <c r="K1934" i="1" s="1"/>
  <c r="K1941" i="1" a="1"/>
  <c r="K1941" i="1" s="1"/>
  <c r="L1940" i="1" a="1"/>
  <c r="L1940" i="1" s="1"/>
  <c r="J1934" i="1" a="1"/>
  <c r="J1934" i="1" s="1"/>
  <c r="J1940" i="1" a="1"/>
  <c r="J1940" i="1" s="1"/>
  <c r="L1934" i="1" a="1"/>
  <c r="L1934" i="1" s="1"/>
  <c r="L1938" i="1" a="1"/>
  <c r="L1938" i="1" s="1"/>
  <c r="J1936" i="1" a="1"/>
  <c r="J1936" i="1" s="1"/>
  <c r="L1933" i="1" a="1"/>
  <c r="L1933" i="1" s="1"/>
  <c r="J1941" i="1" a="1"/>
  <c r="J1941" i="1" s="1"/>
  <c r="K1939" i="1" a="1"/>
  <c r="K1939" i="1" s="1"/>
  <c r="J1938" i="1" a="1"/>
  <c r="J1938" i="1" s="1"/>
  <c r="K1936" i="1" a="1"/>
  <c r="K1936" i="1" s="1"/>
  <c r="J1933" i="1" a="1"/>
  <c r="J1933" i="1" s="1"/>
  <c r="L1932" i="1" a="1"/>
  <c r="L1932" i="1" s="1"/>
  <c r="K1938" i="1" a="1"/>
  <c r="K1938" i="1" s="1"/>
  <c r="K1935" i="1" a="1"/>
  <c r="K1935" i="1" s="1"/>
  <c r="J1935" i="1" a="1"/>
  <c r="J1935" i="1" s="1"/>
  <c r="K1937" i="1" a="1"/>
  <c r="K1937" i="1" s="1"/>
  <c r="L1936" i="1" a="1"/>
  <c r="L1936" i="1" s="1"/>
  <c r="K1933" i="1" a="1"/>
  <c r="K1933" i="1" s="1"/>
  <c r="L1939" i="1" a="1"/>
  <c r="L1939" i="1" s="1"/>
  <c r="L1937" i="1" a="1"/>
  <c r="L1937" i="1" s="1"/>
  <c r="J1937" i="1" a="1"/>
  <c r="J1937" i="1" s="1"/>
  <c r="L1941" i="1" a="1"/>
  <c r="L1941" i="1" s="1"/>
  <c r="L1935" i="1" a="1"/>
  <c r="L1935" i="1" s="1"/>
  <c r="J1939" i="1" a="1"/>
  <c r="J1939" i="1" s="1"/>
  <c r="J1928" i="1" a="1"/>
  <c r="J1928" i="1" s="1"/>
  <c r="L1926" i="1" a="1"/>
  <c r="L1926" i="1" s="1"/>
  <c r="K1927" i="1" a="1"/>
  <c r="K1927" i="1" s="1"/>
  <c r="L1923" i="1" a="1"/>
  <c r="L1923" i="1" s="1"/>
  <c r="K1931" i="1" a="1"/>
  <c r="K1931" i="1" s="1"/>
  <c r="J1931" i="1" a="1"/>
  <c r="J1931" i="1" s="1"/>
  <c r="K1928" i="1" a="1"/>
  <c r="K1928" i="1" s="1"/>
  <c r="L1924" i="1" a="1"/>
  <c r="L1924" i="1" s="1"/>
  <c r="L1930" i="1" a="1"/>
  <c r="L1930" i="1" s="1"/>
  <c r="K1929" i="1" a="1"/>
  <c r="K1929" i="1" s="1"/>
  <c r="J1930" i="1" a="1"/>
  <c r="J1930" i="1" s="1"/>
  <c r="J1924" i="1" a="1"/>
  <c r="J1924" i="1" s="1"/>
  <c r="L1929" i="1" a="1"/>
  <c r="L1929" i="1" s="1"/>
  <c r="L1927" i="1" a="1"/>
  <c r="L1927" i="1" s="1"/>
  <c r="J1927" i="1" a="1"/>
  <c r="J1927" i="1" s="1"/>
  <c r="L1925" i="1" a="1"/>
  <c r="L1925" i="1" s="1"/>
  <c r="L1928" i="1" a="1"/>
  <c r="L1928" i="1" s="1"/>
  <c r="K1930" i="1" a="1"/>
  <c r="K1930" i="1" s="1"/>
  <c r="J1929" i="1" a="1"/>
  <c r="J1929" i="1" s="1"/>
  <c r="J1925" i="1" a="1"/>
  <c r="J1925" i="1" s="1"/>
  <c r="K1923" i="1" a="1"/>
  <c r="K1923" i="1" s="1"/>
  <c r="K1924" i="1" a="1"/>
  <c r="K1924" i="1" s="1"/>
  <c r="L1931" i="1" a="1"/>
  <c r="L1931" i="1" s="1"/>
  <c r="K1932" i="1" a="1"/>
  <c r="K1932" i="1" s="1"/>
  <c r="J1932" i="1" a="1"/>
  <c r="J1932" i="1" s="1"/>
  <c r="K1925" i="1" a="1"/>
  <c r="K1925" i="1" s="1"/>
  <c r="K1926" i="1" a="1"/>
  <c r="K1926" i="1" s="1"/>
  <c r="J1926" i="1" a="1"/>
  <c r="J1926" i="1" s="1"/>
  <c r="L1917" i="1" a="1"/>
  <c r="L1917" i="1" s="1"/>
  <c r="J1918" i="1" a="1"/>
  <c r="J1918" i="1" s="1"/>
  <c r="J1914" i="1" a="1"/>
  <c r="J1914" i="1" s="1"/>
  <c r="J1923" i="1" a="1"/>
  <c r="J1923" i="1" s="1"/>
  <c r="K1917" i="1" a="1"/>
  <c r="K1917" i="1" s="1"/>
  <c r="J1922" i="1" a="1"/>
  <c r="J1922" i="1" s="1"/>
  <c r="J1921" i="1" a="1"/>
  <c r="J1921" i="1" s="1"/>
  <c r="J1920" i="1" a="1"/>
  <c r="J1920" i="1" s="1"/>
  <c r="K1916" i="1" a="1"/>
  <c r="K1916" i="1" s="1"/>
  <c r="K1914" i="1" a="1"/>
  <c r="K1914" i="1" s="1"/>
  <c r="J1915" i="1" a="1"/>
  <c r="J1915" i="1" s="1"/>
  <c r="J1919" i="1" a="1"/>
  <c r="J1919" i="1" s="1"/>
  <c r="K1918" i="1" a="1"/>
  <c r="K1918" i="1" s="1"/>
  <c r="K1915" i="1" a="1"/>
  <c r="K1915" i="1" s="1"/>
  <c r="L1914" i="1" a="1"/>
  <c r="L1914" i="1" s="1"/>
  <c r="L1919" i="1" a="1"/>
  <c r="L1919" i="1" s="1"/>
  <c r="L1922" i="1" a="1"/>
  <c r="L1922" i="1" s="1"/>
  <c r="K1920" i="1" a="1"/>
  <c r="K1920" i="1" s="1"/>
  <c r="K1922" i="1" a="1"/>
  <c r="K1922" i="1" s="1"/>
  <c r="K1919" i="1" a="1"/>
  <c r="K1919" i="1" s="1"/>
  <c r="L1921" i="1" a="1"/>
  <c r="L1921" i="1" s="1"/>
  <c r="L1918" i="1" a="1"/>
  <c r="L1918" i="1" s="1"/>
  <c r="K1921" i="1" a="1"/>
  <c r="K1921" i="1" s="1"/>
  <c r="J1916" i="1" a="1"/>
  <c r="J1916" i="1" s="1"/>
  <c r="L1920" i="1" a="1"/>
  <c r="L1920" i="1" s="1"/>
  <c r="L1915" i="1" a="1"/>
  <c r="L1915" i="1" s="1"/>
  <c r="J1917" i="1" a="1"/>
  <c r="J1917" i="1" s="1"/>
  <c r="L1916" i="1" a="1"/>
  <c r="L1916" i="1" s="1"/>
  <c r="L1913" i="1" a="1"/>
  <c r="L1913" i="1" s="1"/>
  <c r="J1911" i="1" a="1"/>
  <c r="J1911" i="1" s="1"/>
  <c r="L1909" i="1" a="1"/>
  <c r="L1909" i="1" s="1"/>
  <c r="K1905" i="1" a="1"/>
  <c r="K1905" i="1" s="1"/>
  <c r="K1909" i="1" a="1"/>
  <c r="K1909" i="1" s="1"/>
  <c r="L1911" i="1" a="1"/>
  <c r="L1911" i="1" s="1"/>
  <c r="K1908" i="1" a="1"/>
  <c r="K1908" i="1" s="1"/>
  <c r="J1908" i="1" a="1"/>
  <c r="J1908" i="1" s="1"/>
  <c r="K1911" i="1" a="1"/>
  <c r="K1911" i="1" s="1"/>
  <c r="J1910" i="1" a="1"/>
  <c r="J1910" i="1" s="1"/>
  <c r="J1907" i="1" a="1"/>
  <c r="J1907" i="1" s="1"/>
  <c r="L1905" i="1" a="1"/>
  <c r="L1905" i="1" s="1"/>
  <c r="L1910" i="1" a="1"/>
  <c r="L1910" i="1" s="1"/>
  <c r="K1910" i="1" a="1"/>
  <c r="K1910" i="1" s="1"/>
  <c r="L1908" i="1" a="1"/>
  <c r="L1908" i="1" s="1"/>
  <c r="K1912" i="1" a="1"/>
  <c r="K1912" i="1" s="1"/>
  <c r="J1913" i="1" a="1"/>
  <c r="J1913" i="1" s="1"/>
  <c r="L1912" i="1" a="1"/>
  <c r="L1912" i="1" s="1"/>
  <c r="J1912" i="1" a="1"/>
  <c r="J1912" i="1" s="1"/>
  <c r="J1905" i="1" a="1"/>
  <c r="J1905" i="1" s="1"/>
  <c r="J1909" i="1" a="1"/>
  <c r="J1909" i="1" s="1"/>
  <c r="L1906" i="1" a="1"/>
  <c r="L1906" i="1" s="1"/>
  <c r="J1906" i="1" a="1"/>
  <c r="J1906" i="1" s="1"/>
  <c r="L1907" i="1" a="1"/>
  <c r="L1907" i="1" s="1"/>
  <c r="K1913" i="1" a="1"/>
  <c r="K1913" i="1" s="1"/>
  <c r="K1906" i="1" a="1"/>
  <c r="K1906" i="1" s="1"/>
  <c r="K1907" i="1" a="1"/>
  <c r="K1907" i="1" s="1"/>
  <c r="L1904" i="1" a="1"/>
  <c r="L1904" i="1" s="1"/>
  <c r="J1904" i="1" a="1"/>
  <c r="J1904" i="1" s="1"/>
  <c r="K1904" i="1" a="1"/>
  <c r="K1904" i="1" s="1"/>
  <c r="K1675" i="1" a="1"/>
  <c r="K1675" i="1" s="1"/>
  <c r="K1676" i="1" a="1"/>
  <c r="K1676" i="1" s="1"/>
  <c r="L1676" i="1" a="1"/>
  <c r="L1676" i="1" s="1"/>
  <c r="L1675" i="1" a="1"/>
  <c r="L1675" i="1" s="1"/>
  <c r="J1676" i="1" a="1"/>
  <c r="J1676" i="1" s="1"/>
  <c r="L1667" i="1" a="1"/>
  <c r="L1667" i="1" s="1"/>
  <c r="L1674" i="1" a="1"/>
  <c r="L1674" i="1" s="1"/>
  <c r="J1673" i="1" a="1"/>
  <c r="J1673" i="1" s="1"/>
  <c r="J1672" i="1" a="1"/>
  <c r="J1672" i="1" s="1"/>
  <c r="K1669" i="1" a="1"/>
  <c r="K1669" i="1" s="1"/>
  <c r="J1669" i="1" a="1"/>
  <c r="J1669" i="1" s="1"/>
  <c r="L1670" i="1" a="1"/>
  <c r="L1670" i="1" s="1"/>
  <c r="K1670" i="1" a="1"/>
  <c r="K1670" i="1" s="1"/>
  <c r="L1668" i="1" a="1"/>
  <c r="L1668" i="1" s="1"/>
  <c r="J1667" i="1" a="1"/>
  <c r="J1667" i="1" s="1"/>
  <c r="K1672" i="1" a="1"/>
  <c r="K1672" i="1" s="1"/>
  <c r="K1667" i="1" a="1"/>
  <c r="K1667" i="1" s="1"/>
  <c r="J1674" i="1" a="1"/>
  <c r="J1674" i="1" s="1"/>
  <c r="J1671" i="1" a="1"/>
  <c r="J1671" i="1" s="1"/>
  <c r="L1671" i="1" a="1"/>
  <c r="L1671" i="1" s="1"/>
  <c r="L1673" i="1" a="1"/>
  <c r="L1673" i="1" s="1"/>
  <c r="K1673" i="1" a="1"/>
  <c r="K1673" i="1" s="1"/>
  <c r="K1671" i="1" a="1"/>
  <c r="K1671" i="1" s="1"/>
  <c r="J1670" i="1" a="1"/>
  <c r="J1670" i="1" s="1"/>
  <c r="K1668" i="1" a="1"/>
  <c r="K1668" i="1" s="1"/>
  <c r="J1675" i="1" a="1"/>
  <c r="J1675" i="1" s="1"/>
  <c r="L1669" i="1" a="1"/>
  <c r="L1669" i="1" s="1"/>
  <c r="J1668" i="1" a="1"/>
  <c r="J1668" i="1" s="1"/>
  <c r="K1674" i="1" a="1"/>
  <c r="K1674" i="1" s="1"/>
  <c r="L1672" i="1" a="1"/>
  <c r="L1672" i="1" s="1"/>
  <c r="J1661" i="1" a="1"/>
  <c r="J1661" i="1" s="1"/>
  <c r="L1661" i="1" a="1"/>
  <c r="L1661" i="1" s="1"/>
  <c r="L1660" i="1" a="1"/>
  <c r="L1660" i="1" s="1"/>
  <c r="L1662" i="1" a="1"/>
  <c r="L1662" i="1" s="1"/>
  <c r="J1660" i="1" a="1"/>
  <c r="J1660" i="1" s="1"/>
  <c r="J1654" i="1" a="1"/>
  <c r="J1654" i="1" s="1"/>
  <c r="J1662" i="1" a="1"/>
  <c r="J1662" i="1" s="1"/>
  <c r="K1660" i="1" a="1"/>
  <c r="K1660" i="1" s="1"/>
  <c r="K1662" i="1" a="1"/>
  <c r="K1662" i="1" s="1"/>
  <c r="L1654" i="1" a="1"/>
  <c r="L1654" i="1" s="1"/>
  <c r="K1661" i="1" a="1"/>
  <c r="K1661" i="1" s="1"/>
  <c r="K1654" i="1" a="1"/>
  <c r="K1654" i="1" s="1"/>
  <c r="J1646" i="1" a="1"/>
  <c r="J1646" i="1" s="1"/>
  <c r="J1643" i="1" a="1"/>
  <c r="J1643" i="1" s="1"/>
  <c r="K1646" i="1" a="1"/>
  <c r="K1646" i="1" s="1"/>
  <c r="L1646" i="1" a="1"/>
  <c r="L1646" i="1" s="1"/>
  <c r="J1642" i="1" a="1"/>
  <c r="J1642" i="1" s="1"/>
  <c r="L1647" i="1" a="1"/>
  <c r="L1647" i="1" s="1"/>
  <c r="K1647" i="1" a="1"/>
  <c r="K1647" i="1" s="1"/>
  <c r="J1647" i="1" a="1"/>
  <c r="J1647" i="1" s="1"/>
  <c r="L1642" i="1" a="1"/>
  <c r="L1642" i="1" s="1"/>
  <c r="K1643" i="1" a="1"/>
  <c r="K1643" i="1" s="1"/>
  <c r="L1643" i="1" a="1"/>
  <c r="L1643" i="1" s="1"/>
  <c r="K1642" i="1" a="1"/>
  <c r="K1642" i="1" s="1"/>
  <c r="J1627" i="1" a="1"/>
  <c r="J1627" i="1" s="1"/>
  <c r="J1622" i="1" a="1"/>
  <c r="J1622" i="1" s="1"/>
  <c r="L1626" i="1" a="1"/>
  <c r="L1626" i="1" s="1"/>
  <c r="L1625" i="1" a="1"/>
  <c r="L1625" i="1" s="1"/>
  <c r="K1627" i="1" a="1"/>
  <c r="K1627" i="1" s="1"/>
  <c r="K1623" i="1" a="1"/>
  <c r="K1623" i="1" s="1"/>
  <c r="K1622" i="1" a="1"/>
  <c r="K1622" i="1" s="1"/>
  <c r="L1629" i="1" a="1"/>
  <c r="L1629" i="1" s="1"/>
  <c r="J1629" i="1" a="1"/>
  <c r="J1629" i="1" s="1"/>
  <c r="L1623" i="1" a="1"/>
  <c r="L1623" i="1" s="1"/>
  <c r="L1622" i="1" a="1"/>
  <c r="L1622" i="1" s="1"/>
  <c r="L1628" i="1" a="1"/>
  <c r="L1628" i="1" s="1"/>
  <c r="J1625" i="1" a="1"/>
  <c r="J1625" i="1" s="1"/>
  <c r="L1627" i="1" a="1"/>
  <c r="L1627" i="1" s="1"/>
  <c r="J1628" i="1" a="1"/>
  <c r="J1628" i="1" s="1"/>
  <c r="K1626" i="1" a="1"/>
  <c r="K1626" i="1" s="1"/>
  <c r="J1623" i="1" a="1"/>
  <c r="J1623" i="1" s="1"/>
  <c r="J1626" i="1" a="1"/>
  <c r="J1626" i="1" s="1"/>
  <c r="K1625" i="1" a="1"/>
  <c r="K1625" i="1" s="1"/>
  <c r="L1621" i="1" a="1"/>
  <c r="L1621" i="1" s="1"/>
  <c r="L1624" i="1" a="1"/>
  <c r="L1624" i="1" s="1"/>
  <c r="J1624" i="1" a="1"/>
  <c r="J1624" i="1" s="1"/>
  <c r="K1628" i="1" a="1"/>
  <c r="K1628" i="1" s="1"/>
  <c r="K1624" i="1" a="1"/>
  <c r="K1624" i="1" s="1"/>
  <c r="K1629" i="1" a="1"/>
  <c r="K1629" i="1" s="1"/>
  <c r="K1619" i="1" a="1"/>
  <c r="K1619" i="1" s="1"/>
  <c r="J1619" i="1" a="1"/>
  <c r="J1619" i="1" s="1"/>
  <c r="J1613" i="1" a="1"/>
  <c r="J1613" i="1" s="1"/>
  <c r="J1612" i="1" a="1"/>
  <c r="J1612" i="1" s="1"/>
  <c r="L1611" i="1" a="1"/>
  <c r="L1611" i="1" s="1"/>
  <c r="K1613" i="1" a="1"/>
  <c r="K1613" i="1" s="1"/>
  <c r="L1612" i="1" a="1"/>
  <c r="L1612" i="1" s="1"/>
  <c r="K1612" i="1" a="1"/>
  <c r="K1612" i="1" s="1"/>
  <c r="L1613" i="1" a="1"/>
  <c r="L1613" i="1" s="1"/>
  <c r="K1611" i="1" a="1"/>
  <c r="K1611" i="1" s="1"/>
  <c r="L1619" i="1" a="1"/>
  <c r="L1619" i="1" s="1"/>
  <c r="J1611" i="1" a="1"/>
  <c r="J1611" i="1" s="1"/>
  <c r="K1621" i="1" a="1"/>
  <c r="K1621" i="1" s="1"/>
  <c r="J1621" i="1" a="1"/>
  <c r="J1621" i="1" s="1"/>
  <c r="L1604" i="1" a="1"/>
  <c r="L1604" i="1" s="1"/>
  <c r="K1596" i="1" a="1"/>
  <c r="K1596" i="1" s="1"/>
  <c r="L1605" i="1" a="1"/>
  <c r="L1605" i="1" s="1"/>
  <c r="K1605" i="1" a="1"/>
  <c r="K1605" i="1" s="1"/>
  <c r="K1604" i="1" a="1"/>
  <c r="K1604" i="1" s="1"/>
  <c r="J1598" i="1" a="1"/>
  <c r="J1598" i="1" s="1"/>
  <c r="J1596" i="1" a="1"/>
  <c r="J1596" i="1" s="1"/>
  <c r="L1598" i="1" a="1"/>
  <c r="L1598" i="1" s="1"/>
  <c r="J1604" i="1" a="1"/>
  <c r="J1604" i="1" s="1"/>
  <c r="L1596" i="1" a="1"/>
  <c r="L1596" i="1" s="1"/>
  <c r="K1595" i="1" a="1"/>
  <c r="K1595" i="1" s="1"/>
  <c r="J1595" i="1" a="1"/>
  <c r="J1595" i="1" s="1"/>
  <c r="L1595" i="1" a="1"/>
  <c r="L1595" i="1" s="1"/>
  <c r="J1605" i="1" a="1"/>
  <c r="J1605" i="1" s="1"/>
  <c r="K1598" i="1" a="1"/>
  <c r="K1598" i="1" s="1"/>
  <c r="K1581" i="1" a="1"/>
  <c r="K1581" i="1" s="1"/>
  <c r="J1581" i="1" a="1"/>
  <c r="J1581" i="1" s="1"/>
  <c r="L1582" i="1" a="1"/>
  <c r="L1582" i="1" s="1"/>
  <c r="K1580" i="1" a="1"/>
  <c r="K1580" i="1" s="1"/>
  <c r="K1582" i="1" a="1"/>
  <c r="K1582" i="1" s="1"/>
  <c r="J1580" i="1" a="1"/>
  <c r="J1580" i="1" s="1"/>
  <c r="L1581" i="1" a="1"/>
  <c r="L1581" i="1" s="1"/>
  <c r="L1580" i="1" a="1"/>
  <c r="L1580" i="1" s="1"/>
  <c r="J1582" i="1" a="1"/>
  <c r="J1582" i="1" s="1"/>
  <c r="K1572" i="1" a="1"/>
  <c r="K1572" i="1" s="1"/>
  <c r="K1574" i="1" a="1"/>
  <c r="K1574" i="1" s="1"/>
  <c r="J1575" i="1" a="1"/>
  <c r="J1575" i="1" s="1"/>
  <c r="K1579" i="1" a="1"/>
  <c r="K1579" i="1" s="1"/>
  <c r="J1579" i="1" a="1"/>
  <c r="J1579" i="1" s="1"/>
  <c r="L1578" i="1" a="1"/>
  <c r="L1578" i="1" s="1"/>
  <c r="K1578" i="1" a="1"/>
  <c r="K1578" i="1" s="1"/>
  <c r="L1577" i="1" a="1"/>
  <c r="L1577" i="1" s="1"/>
  <c r="J1577" i="1" a="1"/>
  <c r="J1577" i="1" s="1"/>
  <c r="L1576" i="1" a="1"/>
  <c r="L1576" i="1" s="1"/>
  <c r="K1576" i="1" a="1"/>
  <c r="K1576" i="1" s="1"/>
  <c r="L1574" i="1" a="1"/>
  <c r="L1574" i="1" s="1"/>
  <c r="K1577" i="1" a="1"/>
  <c r="K1577" i="1" s="1"/>
  <c r="L1575" i="1" a="1"/>
  <c r="L1575" i="1" s="1"/>
  <c r="J1574" i="1" a="1"/>
  <c r="J1574" i="1" s="1"/>
  <c r="L1572" i="1" a="1"/>
  <c r="L1572" i="1" s="1"/>
  <c r="J1572" i="1" a="1"/>
  <c r="J1572" i="1" s="1"/>
  <c r="L1579" i="1" a="1"/>
  <c r="L1579" i="1" s="1"/>
  <c r="J1578" i="1" a="1"/>
  <c r="J1578" i="1" s="1"/>
  <c r="J1576" i="1" a="1"/>
  <c r="J1576" i="1" s="1"/>
  <c r="K1575" i="1" a="1"/>
  <c r="K1575" i="1" s="1"/>
  <c r="J1565" i="1" a="1"/>
  <c r="J1565" i="1" s="1"/>
  <c r="L1564" i="1" a="1"/>
  <c r="L1564" i="1" s="1"/>
  <c r="K1558" i="1" a="1"/>
  <c r="K1558" i="1" s="1"/>
  <c r="J1558" i="1" a="1"/>
  <c r="J1558" i="1" s="1"/>
  <c r="J1557" i="1" a="1"/>
  <c r="J1557" i="1" s="1"/>
  <c r="K1565" i="1" a="1"/>
  <c r="K1565" i="1" s="1"/>
  <c r="K1566" i="1" a="1"/>
  <c r="K1566" i="1" s="1"/>
  <c r="J1564" i="1" a="1"/>
  <c r="J1564" i="1" s="1"/>
  <c r="L1558" i="1" a="1"/>
  <c r="L1558" i="1" s="1"/>
  <c r="L1557" i="1" a="1"/>
  <c r="L1557" i="1" s="1"/>
  <c r="J1566" i="1" a="1"/>
  <c r="J1566" i="1" s="1"/>
  <c r="K1564" i="1" a="1"/>
  <c r="K1564" i="1" s="1"/>
  <c r="L1566" i="1" a="1"/>
  <c r="L1566" i="1" s="1"/>
  <c r="K1557" i="1" a="1"/>
  <c r="K1557" i="1" s="1"/>
  <c r="L1565" i="1" a="1"/>
  <c r="L1565" i="1" s="1"/>
  <c r="J1548" i="1" a="1"/>
  <c r="J1548" i="1" s="1"/>
  <c r="K1531" i="1" a="1"/>
  <c r="K1531" i="1" s="1"/>
  <c r="K1551" i="1" a="1"/>
  <c r="K1551" i="1" s="1"/>
  <c r="J1549" i="1" a="1"/>
  <c r="J1549" i="1" s="1"/>
  <c r="J1531" i="1" a="1"/>
  <c r="J1531" i="1" s="1"/>
  <c r="K1549" i="1" a="1"/>
  <c r="K1549" i="1" s="1"/>
  <c r="L1531" i="1" a="1"/>
  <c r="L1531" i="1" s="1"/>
  <c r="K1548" i="1" a="1"/>
  <c r="K1548" i="1" s="1"/>
  <c r="J1530" i="1" a="1"/>
  <c r="J1530" i="1" s="1"/>
  <c r="L1549" i="1" a="1"/>
  <c r="L1549" i="1" s="1"/>
  <c r="K1530" i="1" a="1"/>
  <c r="K1530" i="1" s="1"/>
  <c r="J1551" i="1" a="1"/>
  <c r="J1551" i="1" s="1"/>
  <c r="L1548" i="1" a="1"/>
  <c r="L1548" i="1" s="1"/>
  <c r="L1530" i="1" a="1"/>
  <c r="L1530" i="1" s="1"/>
  <c r="L1551" i="1" a="1"/>
  <c r="L1551" i="1" s="1"/>
  <c r="L1529" i="1" a="1"/>
  <c r="L1529" i="1" s="1"/>
  <c r="K1529" i="1" a="1"/>
  <c r="K1529" i="1" s="1"/>
  <c r="K1526" i="1" a="1"/>
  <c r="K1526" i="1" s="1"/>
  <c r="J1522" i="1" a="1"/>
  <c r="J1522" i="1" s="1"/>
  <c r="J1529" i="1" a="1"/>
  <c r="J1529" i="1" s="1"/>
  <c r="J1521" i="1" a="1"/>
  <c r="J1521" i="1" s="1"/>
  <c r="L1528" i="1" a="1"/>
  <c r="L1528" i="1" s="1"/>
  <c r="J1527" i="1" a="1"/>
  <c r="J1527" i="1" s="1"/>
  <c r="J1525" i="1" a="1"/>
  <c r="J1525" i="1" s="1"/>
  <c r="K1528" i="1" a="1"/>
  <c r="K1528" i="1" s="1"/>
  <c r="J1528" i="1" a="1"/>
  <c r="J1528" i="1" s="1"/>
  <c r="L1527" i="1" a="1"/>
  <c r="L1527" i="1" s="1"/>
  <c r="K1527" i="1" a="1"/>
  <c r="K1527" i="1" s="1"/>
  <c r="K1525" i="1" a="1"/>
  <c r="K1525" i="1" s="1"/>
  <c r="L1522" i="1" a="1"/>
  <c r="L1522" i="1" s="1"/>
  <c r="L1526" i="1" a="1"/>
  <c r="L1526" i="1" s="1"/>
  <c r="J1526" i="1" a="1"/>
  <c r="J1526" i="1" s="1"/>
  <c r="K1523" i="1" a="1"/>
  <c r="K1523" i="1" s="1"/>
  <c r="L1525" i="1" a="1"/>
  <c r="L1525" i="1" s="1"/>
  <c r="L1524" i="1" a="1"/>
  <c r="L1524" i="1" s="1"/>
  <c r="K1524" i="1" a="1"/>
  <c r="K1524" i="1" s="1"/>
  <c r="L1523" i="1" a="1"/>
  <c r="L1523" i="1" s="1"/>
  <c r="K1522" i="1" a="1"/>
  <c r="K1522" i="1" s="1"/>
  <c r="K1521" i="1" a="1"/>
  <c r="K1521" i="1" s="1"/>
  <c r="J1524" i="1" a="1"/>
  <c r="J1524" i="1" s="1"/>
  <c r="J1523" i="1" a="1"/>
  <c r="J1523" i="1" s="1"/>
  <c r="L1521" i="1" a="1"/>
  <c r="L1521" i="1" s="1"/>
  <c r="L1513" i="1" a="1"/>
  <c r="L1513" i="1" s="1"/>
  <c r="K1513" i="1" a="1"/>
  <c r="K1513" i="1" s="1"/>
  <c r="K1520" i="1" a="1"/>
  <c r="K1520" i="1" s="1"/>
  <c r="K1519" i="1" a="1"/>
  <c r="K1519" i="1" s="1"/>
  <c r="J1515" i="1" a="1"/>
  <c r="J1515" i="1" s="1"/>
  <c r="J1514" i="1" a="1"/>
  <c r="J1514" i="1" s="1"/>
  <c r="K1515" i="1" a="1"/>
  <c r="K1515" i="1" s="1"/>
  <c r="L1516" i="1" a="1"/>
  <c r="L1516" i="1" s="1"/>
  <c r="J1517" i="1" a="1"/>
  <c r="J1517" i="1" s="1"/>
  <c r="J1513" i="1" a="1"/>
  <c r="J1513" i="1" s="1"/>
  <c r="J1516" i="1" a="1"/>
  <c r="J1516" i="1" s="1"/>
  <c r="K1514" i="1" a="1"/>
  <c r="K1514" i="1" s="1"/>
  <c r="L1515" i="1" a="1"/>
  <c r="L1515" i="1" s="1"/>
  <c r="L1520" i="1" a="1"/>
  <c r="L1520" i="1" s="1"/>
  <c r="J1520" i="1" a="1"/>
  <c r="J1520" i="1" s="1"/>
  <c r="L1514" i="1" a="1"/>
  <c r="L1514" i="1" s="1"/>
  <c r="K1516" i="1" a="1"/>
  <c r="K1516" i="1" s="1"/>
  <c r="L1517" i="1" a="1"/>
  <c r="L1517" i="1" s="1"/>
  <c r="J1519" i="1" a="1"/>
  <c r="J1519" i="1" s="1"/>
  <c r="K1517" i="1" a="1"/>
  <c r="K1517" i="1" s="1"/>
  <c r="L1519" i="1" a="1"/>
  <c r="L1519" i="1" s="1"/>
  <c r="K1999" i="1" a="1"/>
  <c r="K1999" i="1" s="1"/>
  <c r="L1995" i="1" a="1"/>
  <c r="L1995" i="1" s="1"/>
  <c r="L2001" i="1" a="1"/>
  <c r="L2001" i="1" s="1"/>
  <c r="J2000" i="1" a="1"/>
  <c r="J2000" i="1" s="1"/>
  <c r="K2001" i="1" a="1"/>
  <c r="K2001" i="1" s="1"/>
  <c r="J2001" i="1" a="1"/>
  <c r="J2001" i="1" s="1"/>
  <c r="K1994" i="1" a="1"/>
  <c r="K1994" i="1" s="1"/>
  <c r="K1998" i="1" a="1"/>
  <c r="K1998" i="1" s="1"/>
  <c r="L1997" i="1" a="1"/>
  <c r="L1997" i="1" s="1"/>
  <c r="J1996" i="1" a="1"/>
  <c r="J1996" i="1" s="1"/>
  <c r="J1998" i="1" a="1"/>
  <c r="J1998" i="1" s="1"/>
  <c r="K1993" i="1" a="1"/>
  <c r="K1993" i="1" s="1"/>
  <c r="K2000" i="1" a="1"/>
  <c r="K2000" i="1" s="1"/>
  <c r="L1999" i="1" a="1"/>
  <c r="L1999" i="1" s="1"/>
  <c r="K1997" i="1" a="1"/>
  <c r="K1997" i="1" s="1"/>
  <c r="J1997" i="1" a="1"/>
  <c r="J1997" i="1" s="1"/>
  <c r="L1994" i="1" a="1"/>
  <c r="L1994" i="1" s="1"/>
  <c r="J1994" i="1" a="1"/>
  <c r="J1994" i="1" s="1"/>
  <c r="L1996" i="1" a="1"/>
  <c r="L1996" i="1" s="1"/>
  <c r="K1996" i="1" a="1"/>
  <c r="K1996" i="1" s="1"/>
  <c r="L1993" i="1" a="1"/>
  <c r="L1993" i="1" s="1"/>
  <c r="J1995" i="1" a="1"/>
  <c r="J1995" i="1" s="1"/>
  <c r="K1995" i="1" a="1"/>
  <c r="K1995" i="1" s="1"/>
  <c r="J1999" i="1" a="1"/>
  <c r="J1999" i="1" s="1"/>
  <c r="J1993" i="1" a="1"/>
  <c r="J1993" i="1" s="1"/>
  <c r="L1998" i="1" a="1"/>
  <c r="L1998" i="1" s="1"/>
  <c r="L2000" i="1" a="1"/>
  <c r="L2000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2312" i="1" a="1"/>
  <c r="J2312" i="1" s="1"/>
  <c r="L2312" i="1" a="1"/>
  <c r="L2312" i="1" s="1"/>
  <c r="K2312" i="1" a="1"/>
  <c r="K2312" i="1" s="1"/>
  <c r="K2300" i="1" a="1"/>
  <c r="K2300" i="1" s="1"/>
  <c r="J2303" i="1" a="1"/>
  <c r="J2303" i="1" s="1"/>
  <c r="L2310" i="1" a="1"/>
  <c r="L2310" i="1" s="1"/>
  <c r="K2310" i="1" a="1"/>
  <c r="K2310" i="1" s="1"/>
  <c r="L2304" i="1" a="1"/>
  <c r="L2304" i="1" s="1"/>
  <c r="K2306" i="1" a="1"/>
  <c r="K2306" i="1" s="1"/>
  <c r="J2304" i="1" a="1"/>
  <c r="J2304" i="1" s="1"/>
  <c r="K2303" i="1" a="1"/>
  <c r="K2303" i="1" s="1"/>
  <c r="L2302" i="1" a="1"/>
  <c r="L2302" i="1" s="1"/>
  <c r="J2308" i="1" a="1"/>
  <c r="J2308" i="1" s="1"/>
  <c r="J2310" i="1" a="1"/>
  <c r="J2310" i="1" s="1"/>
  <c r="L2298" i="1" a="1"/>
  <c r="L2298" i="1" s="1"/>
  <c r="J2306" i="1" a="1"/>
  <c r="J2306" i="1" s="1"/>
  <c r="L2303" i="1" a="1"/>
  <c r="L2303" i="1" s="1"/>
  <c r="J2300" i="1" a="1"/>
  <c r="J2300" i="1" s="1"/>
  <c r="K2298" i="1" a="1"/>
  <c r="K2298" i="1" s="1"/>
  <c r="L2300" i="1" a="1"/>
  <c r="L2300" i="1" s="1"/>
  <c r="J2298" i="1" a="1"/>
  <c r="J2298" i="1" s="1"/>
  <c r="K2308" i="1" a="1"/>
  <c r="K2308" i="1" s="1"/>
  <c r="K2304" i="1" a="1"/>
  <c r="K2304" i="1" s="1"/>
  <c r="K2302" i="1" a="1"/>
  <c r="K2302" i="1" s="1"/>
  <c r="J2302" i="1" a="1"/>
  <c r="J2302" i="1" s="1"/>
  <c r="L2306" i="1" a="1"/>
  <c r="L2306" i="1" s="1"/>
  <c r="L2308" i="1" a="1"/>
  <c r="L2308" i="1" s="1"/>
  <c r="K2290" i="1" a="1"/>
  <c r="K2290" i="1" s="1"/>
  <c r="K2297" i="1" a="1"/>
  <c r="K2297" i="1" s="1"/>
  <c r="J2297" i="1" a="1"/>
  <c r="J2297" i="1" s="1"/>
  <c r="J2292" i="1" a="1"/>
  <c r="J2292" i="1" s="1"/>
  <c r="J2284" i="1" a="1"/>
  <c r="J2284" i="1" s="1"/>
  <c r="L2292" i="1" a="1"/>
  <c r="L2292" i="1" s="1"/>
  <c r="J2288" i="1" a="1"/>
  <c r="J2288" i="1" s="1"/>
  <c r="K2286" i="1" a="1"/>
  <c r="K2286" i="1" s="1"/>
  <c r="J2290" i="1" a="1"/>
  <c r="J2290" i="1" s="1"/>
  <c r="L2290" i="1" a="1"/>
  <c r="L2290" i="1" s="1"/>
  <c r="K2284" i="1" a="1"/>
  <c r="K2284" i="1" s="1"/>
  <c r="L2288" i="1" a="1"/>
  <c r="L2288" i="1" s="1"/>
  <c r="L2286" i="1" a="1"/>
  <c r="L2286" i="1" s="1"/>
  <c r="L2294" i="1" a="1"/>
  <c r="L2294" i="1" s="1"/>
  <c r="K2292" i="1" a="1"/>
  <c r="K2292" i="1" s="1"/>
  <c r="J2286" i="1" a="1"/>
  <c r="J2286" i="1" s="1"/>
  <c r="K2288" i="1" a="1"/>
  <c r="K2288" i="1" s="1"/>
  <c r="L2284" i="1" a="1"/>
  <c r="L2284" i="1" s="1"/>
  <c r="J2294" i="1" a="1"/>
  <c r="J2294" i="1" s="1"/>
  <c r="L2297" i="1" a="1"/>
  <c r="L2297" i="1" s="1"/>
  <c r="K2294" i="1" a="1"/>
  <c r="K2294" i="1" s="1"/>
  <c r="K2274" i="1" a="1"/>
  <c r="K2274" i="1" s="1"/>
  <c r="L2275" i="1" a="1"/>
  <c r="L2275" i="1" s="1"/>
  <c r="K2271" i="1" a="1"/>
  <c r="K2271" i="1" s="1"/>
  <c r="J2271" i="1" a="1"/>
  <c r="J2271" i="1" s="1"/>
  <c r="J2277" i="1" a="1"/>
  <c r="J2277" i="1" s="1"/>
  <c r="K2280" i="1" a="1"/>
  <c r="K2280" i="1" s="1"/>
  <c r="L2277" i="1" a="1"/>
  <c r="L2277" i="1" s="1"/>
  <c r="L2282" i="1" a="1"/>
  <c r="L2282" i="1" s="1"/>
  <c r="K2282" i="1" a="1"/>
  <c r="K2282" i="1" s="1"/>
  <c r="K2281" i="1" a="1"/>
  <c r="K2281" i="1" s="1"/>
  <c r="J2275" i="1" a="1"/>
  <c r="J2275" i="1" s="1"/>
  <c r="K2275" i="1" a="1"/>
  <c r="K2275" i="1" s="1"/>
  <c r="J2282" i="1" a="1"/>
  <c r="J2282" i="1" s="1"/>
  <c r="L2281" i="1" a="1"/>
  <c r="L2281" i="1" s="1"/>
  <c r="J2281" i="1" a="1"/>
  <c r="J2281" i="1" s="1"/>
  <c r="L2280" i="1" a="1"/>
  <c r="L2280" i="1" s="1"/>
  <c r="J2278" i="1" a="1"/>
  <c r="J2278" i="1" s="1"/>
  <c r="K2278" i="1" a="1"/>
  <c r="K2278" i="1" s="1"/>
  <c r="K2277" i="1" a="1"/>
  <c r="K2277" i="1" s="1"/>
  <c r="L2274" i="1" a="1"/>
  <c r="L2274" i="1" s="1"/>
  <c r="J2274" i="1" a="1"/>
  <c r="J2274" i="1" s="1"/>
  <c r="L2271" i="1" a="1"/>
  <c r="L2271" i="1" s="1"/>
  <c r="J2280" i="1" a="1"/>
  <c r="J2280" i="1" s="1"/>
  <c r="L2278" i="1" a="1"/>
  <c r="L2278" i="1" s="1"/>
  <c r="K2265" i="1" a="1"/>
  <c r="K2265" i="1" s="1"/>
  <c r="K2267" i="1" a="1"/>
  <c r="K2267" i="1" s="1"/>
  <c r="L2260" i="1" a="1"/>
  <c r="L2260" i="1" s="1"/>
  <c r="J2261" i="1" a="1"/>
  <c r="J2261" i="1" s="1"/>
  <c r="K2258" i="1" a="1"/>
  <c r="K2258" i="1" s="1"/>
  <c r="L2258" i="1" a="1"/>
  <c r="L2258" i="1" s="1"/>
  <c r="K2269" i="1" a="1"/>
  <c r="K2269" i="1" s="1"/>
  <c r="K2260" i="1" a="1"/>
  <c r="K2260" i="1" s="1"/>
  <c r="J2260" i="1" a="1"/>
  <c r="J2260" i="1" s="1"/>
  <c r="L2267" i="1" a="1"/>
  <c r="L2267" i="1" s="1"/>
  <c r="K2263" i="1" a="1"/>
  <c r="K2263" i="1" s="1"/>
  <c r="L2265" i="1" a="1"/>
  <c r="L2265" i="1" s="1"/>
  <c r="J2265" i="1" a="1"/>
  <c r="J2265" i="1" s="1"/>
  <c r="L2263" i="1" a="1"/>
  <c r="L2263" i="1" s="1"/>
  <c r="J2263" i="1" a="1"/>
  <c r="J2263" i="1" s="1"/>
  <c r="K2261" i="1" a="1"/>
  <c r="K2261" i="1" s="1"/>
  <c r="J2258" i="1" a="1"/>
  <c r="J2258" i="1" s="1"/>
  <c r="L2261" i="1" a="1"/>
  <c r="L2261" i="1" s="1"/>
  <c r="K2256" i="1" a="1"/>
  <c r="K2256" i="1" s="1"/>
  <c r="L2269" i="1" a="1"/>
  <c r="L2269" i="1" s="1"/>
  <c r="J2267" i="1" a="1"/>
  <c r="J2267" i="1" s="1"/>
  <c r="L2256" i="1" a="1"/>
  <c r="L2256" i="1" s="1"/>
  <c r="J2269" i="1" a="1"/>
  <c r="J2269" i="1" s="1"/>
  <c r="J2250" i="1" a="1"/>
  <c r="J2250" i="1" s="1"/>
  <c r="K2246" i="1" a="1"/>
  <c r="K2246" i="1" s="1"/>
  <c r="K2242" i="1" a="1"/>
  <c r="K2242" i="1" s="1"/>
  <c r="L2248" i="1" a="1"/>
  <c r="L2248" i="1" s="1"/>
  <c r="J2256" i="1" a="1"/>
  <c r="J2256" i="1" s="1"/>
  <c r="J2255" i="1" a="1"/>
  <c r="J2255" i="1" s="1"/>
  <c r="L2242" i="1" a="1"/>
  <c r="L2242" i="1" s="1"/>
  <c r="L2250" i="1" a="1"/>
  <c r="L2250" i="1" s="1"/>
  <c r="L2246" i="1" a="1"/>
  <c r="L2246" i="1" s="1"/>
  <c r="L2255" i="1" a="1"/>
  <c r="L2255" i="1" s="1"/>
  <c r="K2255" i="1" a="1"/>
  <c r="K2255" i="1" s="1"/>
  <c r="K2248" i="1" a="1"/>
  <c r="K2248" i="1" s="1"/>
  <c r="L2252" i="1" a="1"/>
  <c r="L2252" i="1" s="1"/>
  <c r="K2252" i="1" a="1"/>
  <c r="K2252" i="1" s="1"/>
  <c r="J2242" i="1" a="1"/>
  <c r="J2242" i="1" s="1"/>
  <c r="J2252" i="1" a="1"/>
  <c r="J2252" i="1" s="1"/>
  <c r="K2250" i="1" a="1"/>
  <c r="K2250" i="1" s="1"/>
  <c r="L2244" i="1" a="1"/>
  <c r="L2244" i="1" s="1"/>
  <c r="L2241" i="1" a="1"/>
  <c r="L2241" i="1" s="1"/>
  <c r="J2248" i="1" a="1"/>
  <c r="J2248" i="1" s="1"/>
  <c r="J2246" i="1" a="1"/>
  <c r="J2246" i="1" s="1"/>
  <c r="J2244" i="1" a="1"/>
  <c r="J2244" i="1" s="1"/>
  <c r="K2244" i="1" a="1"/>
  <c r="K2244" i="1" s="1"/>
  <c r="L2239" i="1" a="1"/>
  <c r="L2239" i="1" s="1"/>
  <c r="K2239" i="1" a="1"/>
  <c r="K2239" i="1" s="1"/>
  <c r="J2239" i="1" a="1"/>
  <c r="J2239" i="1" s="1"/>
  <c r="K2236" i="1" a="1"/>
  <c r="K2236" i="1" s="1"/>
  <c r="J2236" i="1" a="1"/>
  <c r="J2236" i="1" s="1"/>
  <c r="K2241" i="1" a="1"/>
  <c r="K2241" i="1" s="1"/>
  <c r="J2241" i="1" a="1"/>
  <c r="J2241" i="1" s="1"/>
  <c r="L2237" i="1" a="1"/>
  <c r="L2237" i="1" s="1"/>
  <c r="K2237" i="1" a="1"/>
  <c r="K2237" i="1" s="1"/>
  <c r="J2237" i="1" a="1"/>
  <c r="J2237" i="1" s="1"/>
  <c r="L2236" i="1" a="1"/>
  <c r="L2236" i="1" s="1"/>
  <c r="L1039" i="1" a="1"/>
  <c r="L1039" i="1" s="1"/>
  <c r="J1032" i="1" a="1"/>
  <c r="J1032" i="1" s="1"/>
  <c r="J1041" i="1" a="1"/>
  <c r="J1041" i="1" s="1"/>
  <c r="K1041" i="1" a="1"/>
  <c r="K1041" i="1" s="1"/>
  <c r="L1041" i="1" a="1"/>
  <c r="L1041" i="1" s="1"/>
  <c r="K1032" i="1" a="1"/>
  <c r="K1032" i="1" s="1"/>
  <c r="L1032" i="1" a="1"/>
  <c r="L1032" i="1" s="1"/>
  <c r="J1039" i="1" a="1"/>
  <c r="J1039" i="1" s="1"/>
  <c r="K1039" i="1" a="1"/>
  <c r="K1039" i="1" s="1"/>
  <c r="K1027" i="1" a="1"/>
  <c r="K1027" i="1" s="1"/>
  <c r="J1029" i="1" a="1"/>
  <c r="J1029" i="1" s="1"/>
  <c r="K1008" i="1" a="1"/>
  <c r="K1008" i="1" s="1"/>
  <c r="K1054" i="1" s="1" a="1"/>
  <c r="K1054" i="1" s="1"/>
  <c r="L1027" i="1" a="1"/>
  <c r="L1027" i="1" s="1"/>
  <c r="J1027" i="1" a="1"/>
  <c r="J1027" i="1" s="1"/>
  <c r="K1024" i="1" a="1"/>
  <c r="K1024" i="1" s="1"/>
  <c r="L1008" i="1" a="1"/>
  <c r="L1008" i="1" s="1"/>
  <c r="L1054" i="1" s="1" a="1"/>
  <c r="L1054" i="1" s="1"/>
  <c r="J1008" i="1" a="1"/>
  <c r="J1008" i="1" s="1"/>
  <c r="J1054" i="1" s="1" a="1"/>
  <c r="J1054" i="1" s="1"/>
  <c r="J1024" i="1" a="1"/>
  <c r="J1024" i="1" s="1"/>
  <c r="L1029" i="1" a="1"/>
  <c r="L1029" i="1" s="1"/>
  <c r="L1024" i="1" a="1"/>
  <c r="L1024" i="1" s="1"/>
  <c r="K1029" i="1" a="1"/>
  <c r="K1029" i="1" s="1"/>
  <c r="L991" i="1" a="1"/>
  <c r="L991" i="1" s="1"/>
  <c r="L985" i="1" a="1"/>
  <c r="L985" i="1" s="1"/>
  <c r="J985" i="1" a="1"/>
  <c r="J985" i="1" s="1"/>
  <c r="K985" i="1" a="1"/>
  <c r="K985" i="1" s="1"/>
  <c r="L999" i="1" a="1"/>
  <c r="L999" i="1" s="1"/>
  <c r="L1051" i="1" s="1" a="1"/>
  <c r="L1051" i="1" s="1"/>
  <c r="J999" i="1" a="1"/>
  <c r="J999" i="1" s="1"/>
  <c r="J1051" i="1" s="1" a="1"/>
  <c r="J1051" i="1" s="1"/>
  <c r="L998" i="1" a="1"/>
  <c r="L998" i="1" s="1"/>
  <c r="J991" i="1" a="1"/>
  <c r="J991" i="1" s="1"/>
  <c r="K979" i="1" a="1"/>
  <c r="K979" i="1" s="1"/>
  <c r="K1053" i="1" s="1" a="1"/>
  <c r="K1053" i="1" s="1"/>
  <c r="J998" i="1" a="1"/>
  <c r="J998" i="1" s="1"/>
  <c r="L979" i="1" a="1"/>
  <c r="L979" i="1" s="1"/>
  <c r="L1053" i="1" s="1" a="1"/>
  <c r="L1053" i="1" s="1"/>
  <c r="K991" i="1" a="1"/>
  <c r="K991" i="1" s="1"/>
  <c r="K999" i="1" a="1"/>
  <c r="K999" i="1" s="1"/>
  <c r="K1051" i="1" s="1" a="1"/>
  <c r="K1051" i="1" s="1"/>
  <c r="K998" i="1" a="1"/>
  <c r="K998" i="1" s="1"/>
  <c r="L976" i="1" a="1"/>
  <c r="L976" i="1" s="1"/>
  <c r="K976" i="1" a="1"/>
  <c r="K976" i="1" s="1"/>
  <c r="J976" i="1" a="1"/>
  <c r="J976" i="1" s="1"/>
  <c r="L975" i="1" a="1"/>
  <c r="L975" i="1" s="1"/>
  <c r="J975" i="1" a="1"/>
  <c r="J975" i="1" s="1"/>
  <c r="K975" i="1" a="1"/>
  <c r="K975" i="1" s="1"/>
  <c r="J979" i="1" a="1"/>
  <c r="J979" i="1" s="1"/>
  <c r="J1053" i="1" s="1" a="1"/>
  <c r="J1053" i="1" s="1"/>
  <c r="L978" i="1" a="1"/>
  <c r="L978" i="1" s="1"/>
  <c r="K978" i="1" a="1"/>
  <c r="K978" i="1" s="1"/>
  <c r="J978" i="1" a="1"/>
  <c r="J978" i="1" s="1"/>
  <c r="L916" i="1" a="1"/>
  <c r="L916" i="1" s="1"/>
  <c r="K914" i="1" a="1"/>
  <c r="K914" i="1" s="1"/>
  <c r="J914" i="1" a="1"/>
  <c r="J914" i="1" s="1"/>
  <c r="L914" i="1" a="1"/>
  <c r="L914" i="1" s="1"/>
  <c r="K916" i="1" a="1"/>
  <c r="K916" i="1" s="1"/>
  <c r="K928" i="1" a="1"/>
  <c r="K928" i="1" s="1"/>
  <c r="J928" i="1" a="1"/>
  <c r="J928" i="1" s="1"/>
  <c r="J916" i="1" a="1"/>
  <c r="J916" i="1" s="1"/>
  <c r="L928" i="1" a="1"/>
  <c r="L928" i="1" s="1"/>
  <c r="J885" i="1" a="1"/>
  <c r="J885" i="1" s="1"/>
  <c r="L885" i="1" a="1"/>
  <c r="L885" i="1" s="1"/>
  <c r="K885" i="1" a="1"/>
  <c r="K885" i="1" s="1"/>
  <c r="L896" i="1" a="1"/>
  <c r="L896" i="1" s="1"/>
  <c r="J896" i="1" a="1"/>
  <c r="J896" i="1" s="1"/>
  <c r="J884" i="1" a="1"/>
  <c r="J884" i="1" s="1"/>
  <c r="K896" i="1" a="1"/>
  <c r="K896" i="1" s="1"/>
  <c r="K902" i="1" s="1"/>
  <c r="K884" i="1" a="1"/>
  <c r="K884" i="1" s="1"/>
  <c r="L884" i="1" a="1"/>
  <c r="L884" i="1" s="1"/>
  <c r="K804" i="1" a="1"/>
  <c r="K804" i="1" s="1"/>
  <c r="J806" i="1" a="1"/>
  <c r="J806" i="1" s="1"/>
  <c r="L806" i="1" a="1"/>
  <c r="L806" i="1" s="1"/>
  <c r="K806" i="1" a="1"/>
  <c r="K806" i="1" s="1"/>
  <c r="K802" i="1" a="1"/>
  <c r="K802" i="1" s="1"/>
  <c r="L804" i="1" a="1"/>
  <c r="L804" i="1" s="1"/>
  <c r="J804" i="1" a="1"/>
  <c r="J804" i="1" s="1"/>
  <c r="L802" i="1" a="1"/>
  <c r="L802" i="1" s="1"/>
  <c r="J802" i="1" a="1"/>
  <c r="J802" i="1" s="1"/>
  <c r="J780" i="1" a="1"/>
  <c r="J780" i="1" s="1"/>
  <c r="L766" i="1" a="1"/>
  <c r="L766" i="1" s="1"/>
  <c r="L816" i="1" s="1" a="1"/>
  <c r="L816" i="1" s="1"/>
  <c r="K780" i="1" a="1"/>
  <c r="K780" i="1" s="1"/>
  <c r="L780" i="1" a="1"/>
  <c r="L780" i="1" s="1"/>
  <c r="L779" i="1" s="1"/>
  <c r="K766" i="1" a="1"/>
  <c r="K766" i="1" s="1"/>
  <c r="K816" i="1" s="1" a="1"/>
  <c r="K816" i="1" s="1"/>
  <c r="J766" i="1" a="1"/>
  <c r="J766" i="1" s="1"/>
  <c r="J816" i="1" s="1" a="1"/>
  <c r="J816" i="1" s="1"/>
  <c r="L1896" i="1" a="1"/>
  <c r="L1896" i="1" s="1"/>
  <c r="K1896" i="1" a="1"/>
  <c r="K1896" i="1" s="1"/>
  <c r="L1894" i="1" a="1"/>
  <c r="L1894" i="1" s="1"/>
  <c r="K1900" i="1" a="1"/>
  <c r="K1900" i="1" s="1"/>
  <c r="L1902" i="1" a="1"/>
  <c r="L1902" i="1" s="1"/>
  <c r="J1896" i="1" a="1"/>
  <c r="J1896" i="1" s="1"/>
  <c r="J1902" i="1" a="1"/>
  <c r="J1902" i="1" s="1"/>
  <c r="J1900" i="1" a="1"/>
  <c r="J1900" i="1" s="1"/>
  <c r="K1898" i="1" a="1"/>
  <c r="K1898" i="1" s="1"/>
  <c r="K1894" i="1" a="1"/>
  <c r="K1894" i="1" s="1"/>
  <c r="J1894" i="1" a="1"/>
  <c r="J1894" i="1" s="1"/>
  <c r="K1902" i="1" a="1"/>
  <c r="K1902" i="1" s="1"/>
  <c r="L1898" i="1" a="1"/>
  <c r="L1898" i="1" s="1"/>
  <c r="J1898" i="1" a="1"/>
  <c r="J1898" i="1" s="1"/>
  <c r="L1900" i="1" a="1"/>
  <c r="L1900" i="1" s="1"/>
  <c r="K1892" i="1" a="1"/>
  <c r="K1892" i="1" s="1"/>
  <c r="J1892" i="1" a="1"/>
  <c r="J1892" i="1" s="1"/>
  <c r="K1884" i="1" a="1"/>
  <c r="K1884" i="1" s="1"/>
  <c r="J1890" i="1" a="1"/>
  <c r="J1890" i="1" s="1"/>
  <c r="J1884" i="1" a="1"/>
  <c r="J1884" i="1" s="1"/>
  <c r="L1882" i="1" a="1"/>
  <c r="L1882" i="1" s="1"/>
  <c r="L1893" i="1" a="1"/>
  <c r="L1893" i="1" s="1"/>
  <c r="J1893" i="1" a="1"/>
  <c r="J1893" i="1" s="1"/>
  <c r="K1893" i="1" a="1"/>
  <c r="K1893" i="1" s="1"/>
  <c r="L1892" i="1" a="1"/>
  <c r="L1892" i="1" s="1"/>
  <c r="K1882" i="1" a="1"/>
  <c r="K1882" i="1" s="1"/>
  <c r="J1882" i="1" a="1"/>
  <c r="J1882" i="1" s="1"/>
  <c r="K1890" i="1" a="1"/>
  <c r="K1890" i="1" s="1"/>
  <c r="L1890" i="1" a="1"/>
  <c r="L1890" i="1" s="1"/>
  <c r="L1888" i="1" a="1"/>
  <c r="L1888" i="1" s="1"/>
  <c r="K1888" i="1" a="1"/>
  <c r="K1888" i="1" s="1"/>
  <c r="J1888" i="1" a="1"/>
  <c r="J1888" i="1" s="1"/>
  <c r="L1887" i="1" a="1"/>
  <c r="L1887" i="1" s="1"/>
  <c r="K1887" i="1" a="1"/>
  <c r="K1887" i="1" s="1"/>
  <c r="L1884" i="1" a="1"/>
  <c r="L1884" i="1" s="1"/>
  <c r="J1887" i="1" a="1"/>
  <c r="J1887" i="1" s="1"/>
  <c r="L1876" i="1" a="1"/>
  <c r="L1876" i="1" s="1"/>
  <c r="K1880" i="1" a="1"/>
  <c r="K1880" i="1" s="1"/>
  <c r="L1874" i="1" a="1"/>
  <c r="L1874" i="1" s="1"/>
  <c r="J1880" i="1" a="1"/>
  <c r="J1880" i="1" s="1"/>
  <c r="J1874" i="1" a="1"/>
  <c r="J1874" i="1" s="1"/>
  <c r="K1878" i="1" a="1"/>
  <c r="K1878" i="1" s="1"/>
  <c r="L1878" i="1" a="1"/>
  <c r="L1878" i="1" s="1"/>
  <c r="J1878" i="1" a="1"/>
  <c r="J1878" i="1" s="1"/>
  <c r="J1868" i="1" a="1"/>
  <c r="J1868" i="1" s="1"/>
  <c r="J1876" i="1" a="1"/>
  <c r="J1876" i="1" s="1"/>
  <c r="L1871" i="1" a="1"/>
  <c r="L1871" i="1" s="1"/>
  <c r="K1868" i="1" a="1"/>
  <c r="K1868" i="1" s="1"/>
  <c r="J1871" i="1" a="1"/>
  <c r="J1871" i="1" s="1"/>
  <c r="K1870" i="1" a="1"/>
  <c r="K1870" i="1" s="1"/>
  <c r="J1870" i="1" a="1"/>
  <c r="J1870" i="1" s="1"/>
  <c r="L1872" i="1" a="1"/>
  <c r="L1872" i="1" s="1"/>
  <c r="K1872" i="1" a="1"/>
  <c r="K1872" i="1" s="1"/>
  <c r="L1870" i="1" a="1"/>
  <c r="L1870" i="1" s="1"/>
  <c r="L1868" i="1" a="1"/>
  <c r="L1868" i="1" s="1"/>
  <c r="K1871" i="1" a="1"/>
  <c r="K1871" i="1" s="1"/>
  <c r="J1872" i="1" a="1"/>
  <c r="J1872" i="1" s="1"/>
  <c r="K1874" i="1" a="1"/>
  <c r="K1874" i="1" s="1"/>
  <c r="L1880" i="1" a="1"/>
  <c r="L1880" i="1" s="1"/>
  <c r="K1876" i="1" a="1"/>
  <c r="K1876" i="1" s="1"/>
  <c r="K1859" i="1" a="1"/>
  <c r="K1859" i="1" s="1"/>
  <c r="K1865" i="1" a="1"/>
  <c r="K1865" i="1" s="1"/>
  <c r="J1864" i="1" a="1"/>
  <c r="J1864" i="1" s="1"/>
  <c r="J1867" i="1" a="1"/>
  <c r="J1867" i="1" s="1"/>
  <c r="L1859" i="1" a="1"/>
  <c r="L1859" i="1" s="1"/>
  <c r="L1865" i="1" a="1"/>
  <c r="L1865" i="1" s="1"/>
  <c r="K1861" i="1" a="1"/>
  <c r="K1861" i="1" s="1"/>
  <c r="L1857" i="1" a="1"/>
  <c r="L1857" i="1" s="1"/>
  <c r="K1857" i="1" a="1"/>
  <c r="K1857" i="1" s="1"/>
  <c r="L1867" i="1" a="1"/>
  <c r="L1867" i="1" s="1"/>
  <c r="K1867" i="1" a="1"/>
  <c r="K1867" i="1" s="1"/>
  <c r="J1861" i="1" a="1"/>
  <c r="J1861" i="1" s="1"/>
  <c r="K1864" i="1" a="1"/>
  <c r="K1864" i="1" s="1"/>
  <c r="J1857" i="1" a="1"/>
  <c r="J1857" i="1" s="1"/>
  <c r="L1864" i="1" a="1"/>
  <c r="L1864" i="1" s="1"/>
  <c r="L1861" i="1" a="1"/>
  <c r="L1861" i="1" s="1"/>
  <c r="J1865" i="1" a="1"/>
  <c r="J1865" i="1" s="1"/>
  <c r="J1859" i="1" a="1"/>
  <c r="J1859" i="1" s="1"/>
  <c r="K1855" i="1" a="1"/>
  <c r="K1855" i="1" s="1"/>
  <c r="K1850" i="1" a="1"/>
  <c r="K1850" i="1" s="1"/>
  <c r="L1850" i="1" a="1"/>
  <c r="L1850" i="1" s="1"/>
  <c r="L1855" i="1" a="1"/>
  <c r="L1855" i="1" s="1"/>
  <c r="L1851" i="1" a="1"/>
  <c r="L1851" i="1" s="1"/>
  <c r="J1853" i="1" a="1"/>
  <c r="J1853" i="1" s="1"/>
  <c r="J1851" i="1" a="1"/>
  <c r="J1851" i="1" s="1"/>
  <c r="J1850" i="1" a="1"/>
  <c r="J1850" i="1" s="1"/>
  <c r="L1848" i="1" a="1"/>
  <c r="L1848" i="1" s="1"/>
  <c r="K1853" i="1" a="1"/>
  <c r="K1853" i="1" s="1"/>
  <c r="K1851" i="1" a="1"/>
  <c r="K1851" i="1" s="1"/>
  <c r="J1855" i="1" a="1"/>
  <c r="J1855" i="1" s="1"/>
  <c r="L1853" i="1" a="1"/>
  <c r="L1853" i="1" s="1"/>
  <c r="K1848" i="1" a="1"/>
  <c r="K1848" i="1" s="1"/>
  <c r="J1845" i="1" a="1"/>
  <c r="J1845" i="1" s="1"/>
  <c r="K1845" i="1" a="1"/>
  <c r="K1845" i="1" s="1"/>
  <c r="J1848" i="1" a="1"/>
  <c r="J1848" i="1" s="1"/>
  <c r="L1842" i="1" a="1"/>
  <c r="L1842" i="1" s="1"/>
  <c r="J1846" i="1" a="1"/>
  <c r="J1846" i="1" s="1"/>
  <c r="L1845" i="1" a="1"/>
  <c r="L1845" i="1" s="1"/>
  <c r="L1840" i="1" a="1"/>
  <c r="L1840" i="1" s="1"/>
  <c r="K1846" i="1" a="1"/>
  <c r="K1846" i="1" s="1"/>
  <c r="K1842" i="1" a="1"/>
  <c r="K1842" i="1" s="1"/>
  <c r="L1846" i="1" a="1"/>
  <c r="L1846" i="1" s="1"/>
  <c r="J1842" i="1" a="1"/>
  <c r="J1842" i="1" s="1"/>
  <c r="L1832" i="1" a="1"/>
  <c r="L1832" i="1" s="1"/>
  <c r="J1834" i="1" a="1"/>
  <c r="J1834" i="1" s="1"/>
  <c r="L1836" i="1" a="1"/>
  <c r="L1836" i="1" s="1"/>
  <c r="K1836" i="1" a="1"/>
  <c r="K1836" i="1" s="1"/>
  <c r="L1838" i="1" a="1"/>
  <c r="L1838" i="1" s="1"/>
  <c r="K1838" i="1" a="1"/>
  <c r="K1838" i="1" s="1"/>
  <c r="J1836" i="1" a="1"/>
  <c r="J1836" i="1" s="1"/>
  <c r="L1834" i="1" a="1"/>
  <c r="L1834" i="1" s="1"/>
  <c r="L1831" i="1" a="1"/>
  <c r="L1831" i="1" s="1"/>
  <c r="K1831" i="1" a="1"/>
  <c r="K1831" i="1" s="1"/>
  <c r="J1832" i="1" a="1"/>
  <c r="J1832" i="1" s="1"/>
  <c r="K1840" i="1" a="1"/>
  <c r="K1840" i="1" s="1"/>
  <c r="J1840" i="1" a="1"/>
  <c r="J1840" i="1" s="1"/>
  <c r="K1829" i="1" a="1"/>
  <c r="K1829" i="1" s="1"/>
  <c r="J1829" i="1" a="1"/>
  <c r="J1829" i="1" s="1"/>
  <c r="J1838" i="1" a="1"/>
  <c r="J1838" i="1" s="1"/>
  <c r="K1834" i="1" a="1"/>
  <c r="K1834" i="1" s="1"/>
  <c r="J1831" i="1" a="1"/>
  <c r="J1831" i="1" s="1"/>
  <c r="L1829" i="1" a="1"/>
  <c r="L1829" i="1" s="1"/>
  <c r="K1832" i="1" a="1"/>
  <c r="K1832" i="1" s="1"/>
  <c r="K1827" i="1" a="1"/>
  <c r="K1827" i="1" s="1"/>
  <c r="L1826" i="1" a="1"/>
  <c r="L1826" i="1" s="1"/>
  <c r="K1826" i="1" a="1"/>
  <c r="K1826" i="1" s="1"/>
  <c r="J1826" i="1" a="1"/>
  <c r="J1826" i="1" s="1"/>
  <c r="L1827" i="1" a="1"/>
  <c r="L1827" i="1" s="1"/>
  <c r="J1827" i="1" a="1"/>
  <c r="J1827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K779" i="1"/>
  <c r="K783" i="1" s="1"/>
  <c r="J779" i="1"/>
  <c r="J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J129" i="1" s="1"/>
  <c r="L96" i="1"/>
  <c r="L128" i="1" s="1"/>
  <c r="K96" i="1"/>
  <c r="J96" i="1"/>
  <c r="L95" i="1"/>
  <c r="K95" i="1"/>
  <c r="J95" i="1"/>
  <c r="L94" i="1"/>
  <c r="L126" i="1" s="1"/>
  <c r="K94" i="1"/>
  <c r="K126" i="1" s="1"/>
  <c r="J94" i="1"/>
  <c r="J126" i="1" s="1"/>
  <c r="L93" i="1"/>
  <c r="L125" i="1" s="1"/>
  <c r="K93" i="1"/>
  <c r="K125" i="1" s="1"/>
  <c r="J93" i="1"/>
  <c r="J125" i="1" s="1"/>
  <c r="L92" i="1"/>
  <c r="L124" i="1" s="1"/>
  <c r="K92" i="1"/>
  <c r="K124" i="1" s="1"/>
  <c r="J92" i="1"/>
  <c r="J124" i="1" s="1"/>
  <c r="L91" i="1"/>
  <c r="K91" i="1"/>
  <c r="J91" i="1"/>
  <c r="J123" i="1" s="1"/>
  <c r="L90" i="1"/>
  <c r="L122" i="1" s="1"/>
  <c r="K90" i="1"/>
  <c r="J90" i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K87" i="1"/>
  <c r="K119" i="1" s="1"/>
  <c r="J87" i="1"/>
  <c r="J119" i="1" s="1"/>
  <c r="L86" i="1"/>
  <c r="L118" i="1" s="1"/>
  <c r="K86" i="1"/>
  <c r="K118" i="1" s="1"/>
  <c r="J86" i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J73" i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K1648" i="1" a="1"/>
  <c r="K1648" i="1" s="1"/>
  <c r="L1648" i="1" a="1"/>
  <c r="L1648" i="1" s="1"/>
  <c r="L1644" i="1" a="1"/>
  <c r="L1644" i="1" s="1"/>
  <c r="K1644" i="1" a="1"/>
  <c r="K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31" i="1" a="1"/>
  <c r="L31" i="1" s="1"/>
  <c r="K31" i="1" a="1"/>
  <c r="K31" i="1" s="1"/>
  <c r="J31" i="1" a="1"/>
  <c r="J31" i="1" s="1"/>
  <c r="J625" i="1" a="1"/>
  <c r="J625" i="1" s="1"/>
  <c r="L627" i="1" a="1"/>
  <c r="L627" i="1" s="1"/>
  <c r="L625" i="1" a="1"/>
  <c r="L625" i="1" s="1"/>
  <c r="K627" i="1" a="1"/>
  <c r="K627" i="1" s="1"/>
  <c r="L630" i="1" a="1"/>
  <c r="L630" i="1" s="1"/>
  <c r="L628" i="1" a="1"/>
  <c r="L628" i="1" s="1"/>
  <c r="J629" i="1" a="1"/>
  <c r="J629" i="1" s="1"/>
  <c r="K629" i="1" a="1"/>
  <c r="K629" i="1" s="1"/>
  <c r="J627" i="1" a="1"/>
  <c r="J627" i="1" s="1"/>
  <c r="K628" i="1" a="1"/>
  <c r="K628" i="1" s="1"/>
  <c r="K630" i="1" a="1"/>
  <c r="K630" i="1" s="1"/>
  <c r="J630" i="1" a="1"/>
  <c r="J630" i="1" s="1"/>
  <c r="J628" i="1" a="1"/>
  <c r="J628" i="1" s="1"/>
  <c r="L629" i="1" a="1"/>
  <c r="L629" i="1" s="1"/>
  <c r="K625" i="1" a="1"/>
  <c r="K625" i="1" s="1"/>
  <c r="J620" i="1" a="1"/>
  <c r="J620" i="1" s="1"/>
  <c r="J610" i="1" a="1"/>
  <c r="J610" i="1" s="1"/>
  <c r="J618" i="1" a="1"/>
  <c r="J618" i="1" s="1"/>
  <c r="K622" i="1" a="1"/>
  <c r="K622" i="1" s="1"/>
  <c r="J622" i="1" a="1"/>
  <c r="J622" i="1" s="1"/>
  <c r="L618" i="1" a="1"/>
  <c r="L618" i="1" s="1"/>
  <c r="J623" i="1" a="1"/>
  <c r="J623" i="1" s="1"/>
  <c r="L623" i="1" a="1"/>
  <c r="L623" i="1" s="1"/>
  <c r="K623" i="1" a="1"/>
  <c r="K623" i="1" s="1"/>
  <c r="L622" i="1" a="1"/>
  <c r="L622" i="1" s="1"/>
  <c r="K610" i="1" a="1"/>
  <c r="K610" i="1" s="1"/>
  <c r="K619" i="1" a="1"/>
  <c r="K619" i="1" s="1"/>
  <c r="L617" i="1" a="1"/>
  <c r="L617" i="1" s="1"/>
  <c r="L610" i="1" a="1"/>
  <c r="L610" i="1" s="1"/>
  <c r="J617" i="1" a="1"/>
  <c r="J617" i="1" s="1"/>
  <c r="J619" i="1" a="1"/>
  <c r="J619" i="1" s="1"/>
  <c r="K618" i="1" a="1"/>
  <c r="K618" i="1" s="1"/>
  <c r="L620" i="1" a="1"/>
  <c r="L620" i="1" s="1"/>
  <c r="K620" i="1" a="1"/>
  <c r="K620" i="1" s="1"/>
  <c r="L619" i="1" a="1"/>
  <c r="L619" i="1" s="1"/>
  <c r="K617" i="1" a="1"/>
  <c r="K617" i="1" s="1"/>
  <c r="K607" i="1" a="1"/>
  <c r="K607" i="1" s="1"/>
  <c r="J606" i="1" a="1"/>
  <c r="J606" i="1" s="1"/>
  <c r="J596" i="1" a="1"/>
  <c r="J596" i="1" s="1"/>
  <c r="J595" i="1" a="1"/>
  <c r="J595" i="1" s="1"/>
  <c r="K609" i="1" a="1"/>
  <c r="K609" i="1" s="1"/>
  <c r="L609" i="1" a="1"/>
  <c r="L609" i="1" s="1"/>
  <c r="J609" i="1" a="1"/>
  <c r="J609" i="1" s="1"/>
  <c r="L606" i="1" a="1"/>
  <c r="L606" i="1" s="1"/>
  <c r="J602" i="1" a="1"/>
  <c r="J602" i="1" s="1"/>
  <c r="L603" i="1" a="1"/>
  <c r="L603" i="1" s="1"/>
  <c r="J603" i="1" a="1"/>
  <c r="J603" i="1" s="1"/>
  <c r="K603" i="1" a="1"/>
  <c r="K603" i="1" s="1"/>
  <c r="K595" i="1" a="1"/>
  <c r="K595" i="1" s="1"/>
  <c r="J607" i="1" a="1"/>
  <c r="J607" i="1" s="1"/>
  <c r="L596" i="1" a="1"/>
  <c r="L596" i="1" s="1"/>
  <c r="L595" i="1" a="1"/>
  <c r="L595" i="1" s="1"/>
  <c r="K606" i="1" a="1"/>
  <c r="K606" i="1" s="1"/>
  <c r="L602" i="1" a="1"/>
  <c r="L602" i="1" s="1"/>
  <c r="K602" i="1" a="1"/>
  <c r="K602" i="1" s="1"/>
  <c r="L607" i="1" a="1"/>
  <c r="L607" i="1" s="1"/>
  <c r="K596" i="1" a="1"/>
  <c r="K596" i="1" s="1"/>
  <c r="L593" i="1" a="1"/>
  <c r="L593" i="1" s="1"/>
  <c r="L592" i="1" a="1"/>
  <c r="L592" i="1" s="1"/>
  <c r="J592" i="1" a="1"/>
  <c r="J592" i="1" s="1"/>
  <c r="L585" i="1" a="1"/>
  <c r="L585" i="1" s="1"/>
  <c r="L589" i="1" a="1"/>
  <c r="L589" i="1" s="1"/>
  <c r="L584" i="1" a="1"/>
  <c r="L584" i="1" s="1"/>
  <c r="L588" i="1" a="1"/>
  <c r="L588" i="1" s="1"/>
  <c r="J585" i="1" a="1"/>
  <c r="J585" i="1" s="1"/>
  <c r="K588" i="1" a="1"/>
  <c r="K588" i="1" s="1"/>
  <c r="J588" i="1" a="1"/>
  <c r="J588" i="1" s="1"/>
  <c r="J584" i="1" a="1"/>
  <c r="J584" i="1" s="1"/>
  <c r="K585" i="1" a="1"/>
  <c r="K585" i="1"/>
  <c r="K593" i="1" a="1"/>
  <c r="K593" i="1" s="1"/>
  <c r="J593" i="1" a="1"/>
  <c r="J593" i="1" s="1"/>
  <c r="K592" i="1" a="1"/>
  <c r="K592" i="1" s="1"/>
  <c r="K584" i="1" a="1"/>
  <c r="K584" i="1" s="1"/>
  <c r="J589" i="1" a="1"/>
  <c r="J589" i="1" s="1"/>
  <c r="K589" i="1" a="1"/>
  <c r="K589" i="1" s="1"/>
  <c r="K2049" i="1" a="1"/>
  <c r="K2049" i="1" s="1"/>
  <c r="L2049" i="1" a="1"/>
  <c r="L2049" i="1" s="1"/>
  <c r="J2049" i="1" a="1"/>
  <c r="J2049" i="1" s="1"/>
  <c r="K2044" i="1" a="1"/>
  <c r="K2044" i="1" s="1"/>
  <c r="L2046" i="1" a="1"/>
  <c r="L2046" i="1" s="1"/>
  <c r="L2047" i="1" a="1"/>
  <c r="L2047" i="1" s="1"/>
  <c r="L2048" i="1" a="1"/>
  <c r="L2048" i="1" s="1"/>
  <c r="L2044" i="1" a="1"/>
  <c r="L2044" i="1" s="1"/>
  <c r="K2043" i="1" a="1"/>
  <c r="K2043" i="1" s="1"/>
  <c r="K2041" i="1" a="1"/>
  <c r="K2041" i="1" s="1"/>
  <c r="K2048" i="1" a="1"/>
  <c r="K2048" i="1" s="1"/>
  <c r="L2040" i="1" a="1"/>
  <c r="L2040" i="1" s="1"/>
  <c r="J2048" i="1" a="1"/>
  <c r="J2048" i="1" s="1"/>
  <c r="L2041" i="1" a="1"/>
  <c r="L2041" i="1" s="1"/>
  <c r="K2047" i="1" a="1"/>
  <c r="K2047" i="1" s="1"/>
  <c r="J2047" i="1" a="1"/>
  <c r="J2047" i="1" s="1"/>
  <c r="J2044" i="1" a="1"/>
  <c r="J2044" i="1" s="1"/>
  <c r="J2043" i="1" a="1"/>
  <c r="J2043" i="1" s="1"/>
  <c r="J2046" i="1" a="1"/>
  <c r="J2046" i="1" s="1"/>
  <c r="L2042" i="1" a="1"/>
  <c r="L2042" i="1" s="1"/>
  <c r="K2042" i="1" a="1"/>
  <c r="K2042" i="1" s="1"/>
  <c r="K2046" i="1" a="1"/>
  <c r="K2046" i="1" s="1"/>
  <c r="J2041" i="1" a="1"/>
  <c r="J2041" i="1" s="1"/>
  <c r="K2040" i="1" a="1"/>
  <c r="K2040" i="1" s="1"/>
  <c r="J2042" i="1" a="1"/>
  <c r="J2042" i="1" s="1"/>
  <c r="J2040" i="1" a="1"/>
  <c r="J2040" i="1" s="1"/>
  <c r="L2043" i="1" a="1"/>
  <c r="L2043" i="1" s="1"/>
  <c r="L2045" i="1" a="1"/>
  <c r="L2045" i="1" s="1"/>
  <c r="J2045" i="1" a="1"/>
  <c r="J2045" i="1" s="1"/>
  <c r="K2045" i="1" a="1"/>
  <c r="K2045" i="1" s="1"/>
  <c r="J2035" i="1" a="1"/>
  <c r="J2035" i="1" s="1"/>
  <c r="J2032" i="1" a="1"/>
  <c r="J2032" i="1" s="1"/>
  <c r="J2031" i="1" s="1" a="1"/>
  <c r="J2031" i="1" s="1"/>
  <c r="J2039" i="1" a="1"/>
  <c r="J2039" i="1" s="1"/>
  <c r="L2039" i="1" a="1"/>
  <c r="L2039" i="1" s="1"/>
  <c r="K2039" i="1" a="1"/>
  <c r="K2039" i="1" s="1"/>
  <c r="J2037" i="1" a="1"/>
  <c r="J2037" i="1" s="1"/>
  <c r="L2038" i="1" a="1"/>
  <c r="L2038" i="1" s="1"/>
  <c r="K2038" i="1" a="1"/>
  <c r="K2038" i="1" s="1"/>
  <c r="J2038" i="1" a="1"/>
  <c r="J2038" i="1" s="1"/>
  <c r="K2037" i="1" a="1"/>
  <c r="K2037" i="1" s="1"/>
  <c r="J2036" i="1" a="1"/>
  <c r="J2036" i="1" s="1"/>
  <c r="K2036" i="1" a="1"/>
  <c r="K2036" i="1" s="1"/>
  <c r="K2034" i="1" a="1"/>
  <c r="K2034" i="1" s="1"/>
  <c r="L2035" i="1" a="1"/>
  <c r="L2035" i="1" s="1"/>
  <c r="K2032" i="1" a="1"/>
  <c r="K2032" i="1" s="1"/>
  <c r="K2031" i="1" s="1" a="1"/>
  <c r="K2031" i="1" s="1"/>
  <c r="L2036" i="1" a="1"/>
  <c r="L2036" i="1" s="1"/>
  <c r="L2037" i="1" a="1"/>
  <c r="L2037" i="1" s="1"/>
  <c r="L2034" i="1" a="1"/>
  <c r="L2034" i="1" s="1"/>
  <c r="L2032" i="1" a="1"/>
  <c r="L2032" i="1" s="1"/>
  <c r="L2031" i="1" s="1" a="1"/>
  <c r="L2031" i="1" s="1"/>
  <c r="J2034" i="1" a="1"/>
  <c r="J2034" i="1" s="1"/>
  <c r="K2035" i="1" a="1"/>
  <c r="K2035" i="1" s="1"/>
  <c r="L2026" i="1" a="1"/>
  <c r="L2026" i="1" s="1"/>
  <c r="J2026" i="1" a="1"/>
  <c r="J2026" i="1" s="1"/>
  <c r="J2023" i="1" a="1"/>
  <c r="J2023" i="1" s="1"/>
  <c r="K2026" i="1" a="1"/>
  <c r="K2026" i="1" s="1"/>
  <c r="L2029" i="1" a="1"/>
  <c r="L2029" i="1" s="1"/>
  <c r="L2028" i="1" s="1" a="1"/>
  <c r="L2028" i="1" s="1"/>
  <c r="K2029" i="1" a="1"/>
  <c r="K2029" i="1" s="1"/>
  <c r="K2028" i="1" s="1" a="1"/>
  <c r="K2028" i="1" s="1"/>
  <c r="J2029" i="1" a="1"/>
  <c r="J2029" i="1" s="1"/>
  <c r="J2028" i="1" s="1" a="1"/>
  <c r="J2028" i="1" s="1"/>
  <c r="J2025" i="1" a="1"/>
  <c r="J2025" i="1" s="1"/>
  <c r="L2023" i="1" a="1"/>
  <c r="L2023" i="1" s="1"/>
  <c r="K2023" i="1" a="1"/>
  <c r="K2023" i="1" s="1"/>
  <c r="L2025" i="1" a="1"/>
  <c r="L2025" i="1" s="1"/>
  <c r="K2025" i="1" a="1"/>
  <c r="K2025" i="1" s="1"/>
  <c r="J2337" i="1" a="1"/>
  <c r="J2337" i="1" s="1"/>
  <c r="L2336" i="1" a="1"/>
  <c r="L2336" i="1" s="1"/>
  <c r="L2335" i="1" a="1"/>
  <c r="L2335" i="1" s="1"/>
  <c r="J2335" i="1" a="1"/>
  <c r="J2335" i="1" s="1"/>
  <c r="K2334" i="1" a="1"/>
  <c r="K2334" i="1" s="1"/>
  <c r="J2334" i="1" a="1"/>
  <c r="J2334" i="1" s="1"/>
  <c r="K2340" i="1" a="1"/>
  <c r="K2340" i="1" s="1"/>
  <c r="K2337" i="1" a="1"/>
  <c r="K2337" i="1" s="1"/>
  <c r="K2335" i="1" a="1"/>
  <c r="K2335" i="1" s="1"/>
  <c r="J2340" i="1" a="1"/>
  <c r="J2340" i="1" s="1"/>
  <c r="L2338" i="1" a="1"/>
  <c r="L2338" i="1" s="1"/>
  <c r="L2339" i="1" a="1"/>
  <c r="L2339" i="1" s="1"/>
  <c r="L2334" i="1" a="1"/>
  <c r="L2334" i="1" s="1"/>
  <c r="J2339" i="1" a="1"/>
  <c r="J2339" i="1" s="1"/>
  <c r="K2336" i="1" a="1"/>
  <c r="K2336" i="1" s="1"/>
  <c r="K2338" i="1" a="1"/>
  <c r="K2338" i="1" s="1"/>
  <c r="J2338" i="1" a="1"/>
  <c r="J2338" i="1" s="1"/>
  <c r="J2336" i="1" a="1"/>
  <c r="J2336" i="1" s="1"/>
  <c r="L2340" i="1" a="1"/>
  <c r="L2340" i="1" s="1"/>
  <c r="K2339" i="1" a="1"/>
  <c r="K2339" i="1" s="1"/>
  <c r="L2337" i="1" a="1"/>
  <c r="L2337" i="1" s="1"/>
  <c r="L2333" i="1" a="1"/>
  <c r="L2333" i="1" s="1"/>
  <c r="J2332" i="1" a="1"/>
  <c r="J2332" i="1" s="1"/>
  <c r="J2329" i="1" a="1"/>
  <c r="J2329" i="1" s="1"/>
  <c r="K2326" i="1" a="1"/>
  <c r="K2326" i="1" s="1"/>
  <c r="L2325" i="1" a="1"/>
  <c r="L2325" i="1" s="1"/>
  <c r="K2333" i="1" a="1"/>
  <c r="K2333" i="1" s="1"/>
  <c r="K2331" i="1" a="1"/>
  <c r="K2331" i="1" s="1"/>
  <c r="J2325" i="1" a="1"/>
  <c r="J2325" i="1" s="1"/>
  <c r="J2331" i="1" a="1"/>
  <c r="J2331" i="1" s="1"/>
  <c r="K2330" i="1" a="1"/>
  <c r="K2330" i="1" s="1"/>
  <c r="J2328" i="1" a="1"/>
  <c r="J2328" i="1" s="1"/>
  <c r="L2329" i="1" a="1"/>
  <c r="L2329" i="1" s="1"/>
  <c r="L2327" i="1" a="1"/>
  <c r="L2327" i="1" s="1"/>
  <c r="K2327" i="1" a="1"/>
  <c r="K2327" i="1" s="1"/>
  <c r="J2330" i="1" a="1"/>
  <c r="J2330" i="1" s="1"/>
  <c r="J2333" i="1" a="1"/>
  <c r="J2333" i="1" s="1"/>
  <c r="L2332" i="1" a="1"/>
  <c r="L2332" i="1" s="1"/>
  <c r="K2332" i="1" a="1"/>
  <c r="K2332" i="1" s="1"/>
  <c r="L2331" i="1" a="1"/>
  <c r="L2331" i="1" s="1"/>
  <c r="L2330" i="1" a="1"/>
  <c r="L2330" i="1" s="1"/>
  <c r="K2329" i="1" a="1"/>
  <c r="K2329" i="1" s="1"/>
  <c r="J2327" i="1" a="1"/>
  <c r="J2327" i="1" s="1"/>
  <c r="L2328" i="1" a="1"/>
  <c r="L2328" i="1" s="1"/>
  <c r="L2326" i="1" a="1"/>
  <c r="L2326" i="1" s="1"/>
  <c r="K2328" i="1" a="1"/>
  <c r="K2328" i="1" s="1"/>
  <c r="J2326" i="1" a="1"/>
  <c r="J2326" i="1" s="1"/>
  <c r="K2325" i="1" a="1"/>
  <c r="K2325" i="1" s="1"/>
  <c r="K2316" i="1" a="1"/>
  <c r="K2316" i="1" s="1"/>
  <c r="K2323" i="1" a="1"/>
  <c r="K2323" i="1" s="1"/>
  <c r="K2322" i="1" s="1" a="1"/>
  <c r="K2322" i="1" s="1"/>
  <c r="J2323" i="1" a="1"/>
  <c r="J2323" i="1" s="1"/>
  <c r="J2322" i="1" s="1" a="1"/>
  <c r="J2322" i="1" s="1"/>
  <c r="J2314" i="1" a="1"/>
  <c r="J2314" i="1" s="1"/>
  <c r="J2320" i="1" a="1"/>
  <c r="J2320" i="1" s="1"/>
  <c r="J2319" i="1" s="1" a="1"/>
  <c r="J2319" i="1" s="1"/>
  <c r="L2320" i="1" a="1"/>
  <c r="L2320" i="1" s="1"/>
  <c r="L2319" i="1" s="1" a="1"/>
  <c r="L2319" i="1" s="1"/>
  <c r="L2314" i="1" a="1"/>
  <c r="L2314" i="1" s="1"/>
  <c r="K2320" i="1" a="1"/>
  <c r="K2320" i="1" s="1"/>
  <c r="K2319" i="1" s="1" a="1"/>
  <c r="K2319" i="1" s="1"/>
  <c r="L2316" i="1" a="1"/>
  <c r="L2316" i="1" s="1"/>
  <c r="K2314" i="1" a="1"/>
  <c r="K2314" i="1" s="1"/>
  <c r="L2317" i="1" a="1"/>
  <c r="L2317" i="1" s="1"/>
  <c r="K2317" i="1" a="1"/>
  <c r="K2317" i="1" s="1"/>
  <c r="J2317" i="1" a="1"/>
  <c r="J2317" i="1" s="1"/>
  <c r="L2323" i="1" a="1"/>
  <c r="L2323" i="1" s="1"/>
  <c r="L2322" i="1" s="1" a="1"/>
  <c r="L2322" i="1" s="1"/>
  <c r="J2316" i="1" a="1"/>
  <c r="J2316" i="1" s="1"/>
  <c r="J720" i="1" a="1"/>
  <c r="J720" i="1" s="1"/>
  <c r="K711" i="1" a="1"/>
  <c r="K711" i="1" s="1"/>
  <c r="J719" i="1" a="1"/>
  <c r="J719" i="1" s="1"/>
  <c r="L716" i="1" a="1"/>
  <c r="L716" i="1" s="1"/>
  <c r="J711" i="1" a="1"/>
  <c r="J711" i="1" s="1"/>
  <c r="L719" i="1" a="1"/>
  <c r="L719" i="1" s="1"/>
  <c r="K719" i="1" a="1"/>
  <c r="K719" i="1" s="1"/>
  <c r="L718" i="1" a="1"/>
  <c r="L718" i="1" s="1"/>
  <c r="J716" i="1" a="1"/>
  <c r="J716" i="1" s="1"/>
  <c r="K718" i="1" a="1"/>
  <c r="K718" i="1" s="1"/>
  <c r="J718" i="1" a="1"/>
  <c r="J718" i="1" s="1"/>
  <c r="K716" i="1" a="1"/>
  <c r="K716" i="1" s="1"/>
  <c r="L709" i="1" a="1"/>
  <c r="L709" i="1" s="1"/>
  <c r="L711" i="1" a="1"/>
  <c r="L711" i="1" s="1"/>
  <c r="K709" i="1" a="1"/>
  <c r="K709" i="1" s="1"/>
  <c r="J709" i="1" a="1"/>
  <c r="J709" i="1" s="1"/>
  <c r="L697" i="1" a="1"/>
  <c r="L697" i="1" s="1"/>
  <c r="J697" i="1" a="1"/>
  <c r="J697" i="1" s="1"/>
  <c r="K697" i="1" a="1"/>
  <c r="K697" i="1" s="1"/>
  <c r="L696" i="1" a="1"/>
  <c r="L696" i="1" s="1"/>
  <c r="K696" i="1" a="1"/>
  <c r="K696" i="1" s="1"/>
  <c r="J696" i="1" a="1"/>
  <c r="J696" i="1" s="1"/>
  <c r="J688" i="1" a="1"/>
  <c r="J688" i="1" s="1"/>
  <c r="J687" i="1" a="1"/>
  <c r="J687" i="1" s="1"/>
  <c r="K688" i="1" a="1"/>
  <c r="K688" i="1" s="1"/>
  <c r="L688" i="1" a="1"/>
  <c r="L688" i="1" s="1"/>
  <c r="L687" i="1" a="1"/>
  <c r="L687" i="1" s="1"/>
  <c r="K687" i="1" a="1"/>
  <c r="K687" i="1" s="1"/>
  <c r="L683" i="1" a="1"/>
  <c r="L683" i="1" s="1"/>
  <c r="J685" i="1" a="1"/>
  <c r="J685" i="1" s="1"/>
  <c r="L681" i="1" a="1"/>
  <c r="L681" i="1" s="1"/>
  <c r="K681" i="1" a="1"/>
  <c r="K681" i="1" s="1"/>
  <c r="L682" i="1" a="1"/>
  <c r="L682" i="1" s="1"/>
  <c r="J682" i="1" a="1"/>
  <c r="J682" i="1" s="1"/>
  <c r="J681" i="1" a="1"/>
  <c r="J681" i="1" s="1"/>
  <c r="K685" i="1" a="1"/>
  <c r="K685" i="1" s="1"/>
  <c r="J683" i="1" a="1"/>
  <c r="J683" i="1" s="1"/>
  <c r="K683" i="1" a="1"/>
  <c r="K683" i="1" s="1"/>
  <c r="K682" i="1" a="1"/>
  <c r="K682" i="1" s="1"/>
  <c r="L685" i="1" a="1"/>
  <c r="L685" i="1" s="1"/>
  <c r="J664" i="1" a="1"/>
  <c r="J664" i="1" s="1"/>
  <c r="K665" i="1" a="1"/>
  <c r="K665" i="1" s="1"/>
  <c r="L664" i="1" a="1"/>
  <c r="L664" i="1" s="1"/>
  <c r="K666" i="1" a="1"/>
  <c r="K666" i="1" s="1"/>
  <c r="L666" i="1" a="1"/>
  <c r="L666" i="1" s="1"/>
  <c r="J665" i="1" a="1"/>
  <c r="J665" i="1" s="1"/>
  <c r="J666" i="1" a="1"/>
  <c r="J666" i="1" s="1"/>
  <c r="K664" i="1" a="1"/>
  <c r="K664" i="1" s="1"/>
  <c r="L665" i="1" a="1"/>
  <c r="L665" i="1" s="1"/>
  <c r="J652" i="1" a="1"/>
  <c r="J652" i="1" s="1"/>
  <c r="K652" i="1" a="1"/>
  <c r="K652" i="1" s="1"/>
  <c r="J653" i="1" a="1"/>
  <c r="J653" i="1" s="1"/>
  <c r="L653" i="1" a="1"/>
  <c r="L653" i="1" s="1"/>
  <c r="K653" i="1" a="1"/>
  <c r="K653" i="1" s="1"/>
  <c r="L652" i="1" a="1"/>
  <c r="L652" i="1" s="1"/>
  <c r="L648" i="1" a="1"/>
  <c r="L648" i="1" s="1"/>
  <c r="L645" i="1" a="1"/>
  <c r="L645" i="1" s="1"/>
  <c r="L647" i="1" a="1"/>
  <c r="L647" i="1" s="1"/>
  <c r="L650" i="1" a="1"/>
  <c r="L650" i="1" s="1"/>
  <c r="K650" i="1" a="1"/>
  <c r="K650" i="1" s="1"/>
  <c r="J649" i="1" a="1"/>
  <c r="J649" i="1" s="1"/>
  <c r="J648" i="1" a="1"/>
  <c r="J648" i="1" s="1"/>
  <c r="J647" i="1" a="1"/>
  <c r="J647" i="1" s="1"/>
  <c r="K645" i="1" a="1"/>
  <c r="K645" i="1" s="1"/>
  <c r="J650" i="1" a="1"/>
  <c r="J650" i="1" s="1"/>
  <c r="J645" i="1" a="1"/>
  <c r="J645" i="1" s="1"/>
  <c r="L649" i="1" a="1"/>
  <c r="L649" i="1" s="1"/>
  <c r="K649" i="1" a="1"/>
  <c r="K649" i="1" s="1"/>
  <c r="K648" i="1" a="1"/>
  <c r="K648" i="1" s="1"/>
  <c r="K647" i="1" a="1"/>
  <c r="K647" i="1" s="1"/>
  <c r="K643" i="1" a="1"/>
  <c r="K643" i="1" s="1"/>
  <c r="J643" i="1" a="1"/>
  <c r="J643" i="1" s="1"/>
  <c r="L638" i="1" a="1"/>
  <c r="L638" i="1" s="1"/>
  <c r="J642" i="1" a="1"/>
  <c r="J642" i="1" s="1"/>
  <c r="L642" i="1" a="1"/>
  <c r="L642" i="1" s="1"/>
  <c r="L640" i="1" a="1"/>
  <c r="L640" i="1" s="1"/>
  <c r="K639" i="1" a="1"/>
  <c r="K639" i="1" s="1"/>
  <c r="K640" i="1" a="1"/>
  <c r="K640" i="1" s="1"/>
  <c r="L639" i="1" a="1"/>
  <c r="L639" i="1" s="1"/>
  <c r="K642" i="1" a="1"/>
  <c r="K642" i="1" s="1"/>
  <c r="J640" i="1" a="1"/>
  <c r="J640" i="1" s="1"/>
  <c r="J639" i="1" a="1"/>
  <c r="J639" i="1" s="1"/>
  <c r="L643" i="1" a="1"/>
  <c r="L643" i="1" s="1"/>
  <c r="L633" i="1" a="1"/>
  <c r="L633" i="1" s="1"/>
  <c r="K633" i="1" a="1"/>
  <c r="K633" i="1" s="1"/>
  <c r="J635" i="1" a="1"/>
  <c r="J635" i="1" s="1"/>
  <c r="J633" i="1" a="1"/>
  <c r="J633" i="1" s="1"/>
  <c r="L632" i="1" a="1"/>
  <c r="L632" i="1" s="1"/>
  <c r="K638" i="1" a="1"/>
  <c r="K638" i="1" s="1"/>
  <c r="K635" i="1" a="1"/>
  <c r="K635" i="1" s="1"/>
  <c r="K632" i="1" a="1"/>
  <c r="K632" i="1" s="1"/>
  <c r="L635" i="1" a="1"/>
  <c r="L635" i="1" s="1"/>
  <c r="J632" i="1" a="1"/>
  <c r="J632" i="1" s="1"/>
  <c r="J638" i="1" a="1"/>
  <c r="J638" i="1" s="1"/>
  <c r="L637" i="1" a="1"/>
  <c r="L637" i="1" s="1"/>
  <c r="K637" i="1" a="1"/>
  <c r="K637" i="1" s="1"/>
  <c r="J637" i="1" a="1"/>
  <c r="J637" i="1" s="1"/>
  <c r="J740" i="1" a="1"/>
  <c r="J740" i="1" s="1"/>
  <c r="K743" i="1" a="1"/>
  <c r="K743" i="1" s="1"/>
  <c r="L743" i="1" a="1"/>
  <c r="L743" i="1" s="1"/>
  <c r="J743" i="1" a="1"/>
  <c r="J743" i="1" s="1"/>
  <c r="L740" i="1" a="1"/>
  <c r="L740" i="1" s="1"/>
  <c r="K740" i="1" a="1"/>
  <c r="K740" i="1" s="1"/>
  <c r="J727" i="1" a="1"/>
  <c r="J727" i="1" s="1"/>
  <c r="L720" i="1" a="1"/>
  <c r="L720" i="1" s="1"/>
  <c r="K724" i="1" a="1"/>
  <c r="K724" i="1" s="1"/>
  <c r="L724" i="1" a="1"/>
  <c r="L724" i="1" s="1"/>
  <c r="L727" i="1" a="1"/>
  <c r="L727" i="1" s="1"/>
  <c r="K727" i="1" a="1"/>
  <c r="K727" i="1" s="1"/>
  <c r="K720" i="1" a="1"/>
  <c r="K720" i="1" s="1"/>
  <c r="J724" i="1" a="1"/>
  <c r="J724" i="1" s="1"/>
  <c r="J1709" i="1" a="1"/>
  <c r="J1709" i="1" s="1"/>
  <c r="L1709" i="1" a="1"/>
  <c r="L1709" i="1" s="1"/>
  <c r="K1709" i="1" a="1"/>
  <c r="K1709" i="1" s="1"/>
  <c r="L1708" i="1" a="1"/>
  <c r="L1708" i="1" s="1"/>
  <c r="K1708" i="1" a="1"/>
  <c r="K1708" i="1" s="1"/>
  <c r="J1708" i="1" a="1"/>
  <c r="J1708" i="1" s="1"/>
  <c r="L19" i="1"/>
  <c r="L18" i="1" s="1"/>
  <c r="K19" i="1"/>
  <c r="K18" i="1" s="1"/>
  <c r="J19" i="1"/>
  <c r="J18" i="1" s="1"/>
  <c r="J284" i="1" a="1"/>
  <c r="J284" i="1" s="1"/>
  <c r="L284" i="1" a="1"/>
  <c r="L284" i="1" s="1"/>
  <c r="L283" i="1" s="1"/>
  <c r="K284" i="1" a="1"/>
  <c r="K284" i="1" s="1"/>
  <c r="K283" i="1" s="1"/>
  <c r="K275" i="1" a="1"/>
  <c r="K275" i="1" s="1"/>
  <c r="J275" i="1" a="1"/>
  <c r="J275" i="1" s="1"/>
  <c r="K242" i="1" a="1"/>
  <c r="K242" i="1" s="1"/>
  <c r="J242" i="1" a="1"/>
  <c r="J242" i="1" s="1"/>
  <c r="L242" i="1" a="1"/>
  <c r="L242" i="1" s="1"/>
  <c r="L241" i="1" s="1"/>
  <c r="L275" i="1" a="1"/>
  <c r="L275" i="1" s="1"/>
  <c r="K199" i="1" a="1"/>
  <c r="K199" i="1" s="1"/>
  <c r="J199" i="1" a="1"/>
  <c r="J199" i="1" s="1"/>
  <c r="J198" i="1" s="1"/>
  <c r="J361" i="1" s="1"/>
  <c r="J428" i="1" s="1"/>
  <c r="L199" i="1" a="1"/>
  <c r="L199" i="1" s="1"/>
  <c r="L198" i="1" s="1"/>
  <c r="L361" i="1" s="1"/>
  <c r="L428" i="1" s="1"/>
  <c r="K59" i="1" a="1"/>
  <c r="K59" i="1" s="1"/>
  <c r="K62" i="1" a="1"/>
  <c r="K62" i="1" s="1"/>
  <c r="K61" i="1" a="1"/>
  <c r="K61" i="1" s="1"/>
  <c r="J60" i="1" a="1"/>
  <c r="J60" i="1" s="1"/>
  <c r="L59" i="1" a="1"/>
  <c r="L59" i="1" s="1"/>
  <c r="L62" i="1" a="1"/>
  <c r="L62" i="1" s="1"/>
  <c r="L55" i="1" a="1"/>
  <c r="L55" i="1" s="1"/>
  <c r="J62" i="1" a="1"/>
  <c r="J62" i="1" s="1"/>
  <c r="J59" i="1" a="1"/>
  <c r="J59" i="1" s="1"/>
  <c r="L61" i="1" a="1"/>
  <c r="L61" i="1" s="1"/>
  <c r="J61" i="1" a="1"/>
  <c r="J61" i="1" s="1"/>
  <c r="K52" i="1" a="1"/>
  <c r="K52" i="1" s="1"/>
  <c r="J52" i="1" a="1"/>
  <c r="J52" i="1" s="1"/>
  <c r="L52" i="1" a="1"/>
  <c r="L52" i="1" s="1"/>
  <c r="K55" i="1" a="1"/>
  <c r="K55" i="1" s="1"/>
  <c r="J55" i="1" a="1"/>
  <c r="J55" i="1" s="1"/>
  <c r="L53" i="1" a="1"/>
  <c r="L53" i="1" s="1"/>
  <c r="L54" i="1" a="1"/>
  <c r="L54" i="1" s="1"/>
  <c r="K54" i="1" a="1"/>
  <c r="K54" i="1" s="1"/>
  <c r="J54" i="1" a="1"/>
  <c r="J54" i="1" s="1"/>
  <c r="K53" i="1" a="1"/>
  <c r="K53" i="1" s="1"/>
  <c r="J53" i="1" a="1"/>
  <c r="J53" i="1" s="1"/>
  <c r="K14" i="1" a="1"/>
  <c r="K14" i="1" s="1"/>
  <c r="J13" i="1" a="1"/>
  <c r="J13" i="1" s="1"/>
  <c r="K15" i="1" a="1"/>
  <c r="K15" i="1" s="1"/>
  <c r="L14" i="1" a="1"/>
  <c r="L14" i="1" s="1"/>
  <c r="K13" i="1" a="1"/>
  <c r="K13" i="1" s="1"/>
  <c r="J15" i="1" a="1"/>
  <c r="J15" i="1" s="1"/>
  <c r="J14" i="1" a="1"/>
  <c r="J14" i="1" s="1"/>
  <c r="L15" i="1" a="1"/>
  <c r="L15" i="1" s="1"/>
  <c r="L13" i="1" a="1"/>
  <c r="L13" i="1" s="1"/>
  <c r="L60" i="1" a="1"/>
  <c r="L60" i="1" s="1"/>
  <c r="K60" i="1" a="1"/>
  <c r="K60" i="1" s="1"/>
  <c r="K56" i="1" a="1"/>
  <c r="K56" i="1" s="1"/>
  <c r="L56" i="1" a="1"/>
  <c r="L56" i="1" s="1"/>
  <c r="J56" i="1" a="1"/>
  <c r="J56" i="1" s="1"/>
  <c r="K50" i="1" a="1"/>
  <c r="K50" i="1" s="1"/>
  <c r="L50" i="1" a="1"/>
  <c r="L50" i="1" s="1"/>
  <c r="J50" i="1" a="1"/>
  <c r="J50" i="1" s="1"/>
  <c r="J44" i="1" a="1"/>
  <c r="J44" i="1" s="1"/>
  <c r="L45" i="1" a="1"/>
  <c r="L45" i="1" s="1"/>
  <c r="L44" i="1" a="1"/>
  <c r="L44" i="1" s="1"/>
  <c r="K44" i="1" a="1"/>
  <c r="K44" i="1" s="1"/>
  <c r="L28" i="1" a="1"/>
  <c r="L28" i="1" s="1"/>
  <c r="K28" i="1" a="1"/>
  <c r="K28" i="1" s="1"/>
  <c r="L43" i="1" a="1"/>
  <c r="L43" i="1" s="1"/>
  <c r="L27" i="1" a="1"/>
  <c r="L27" i="1" s="1"/>
  <c r="K43" i="1" a="1"/>
  <c r="K43" i="1" s="1"/>
  <c r="J28" i="1" a="1"/>
  <c r="J28" i="1" s="1"/>
  <c r="J43" i="1" a="1"/>
  <c r="J43" i="1" s="1"/>
  <c r="K24" i="1" a="1"/>
  <c r="K24" i="1" s="1"/>
  <c r="J25" i="1" a="1"/>
  <c r="J25" i="1" s="1"/>
  <c r="L24" i="1" a="1"/>
  <c r="L24" i="1" s="1"/>
  <c r="L26" i="1" a="1"/>
  <c r="L26" i="1" s="1"/>
  <c r="L25" i="1" a="1"/>
  <c r="L25" i="1" s="1"/>
  <c r="J24" i="1" a="1"/>
  <c r="J24" i="1" s="1"/>
  <c r="K21" i="1" a="1"/>
  <c r="K21" i="1" s="1"/>
  <c r="L21" i="1" a="1"/>
  <c r="L21" i="1" s="1"/>
  <c r="K27" i="1" a="1"/>
  <c r="K27" i="1" s="1"/>
  <c r="K25" i="1" a="1"/>
  <c r="K25" i="1" s="1"/>
  <c r="J27" i="1" a="1"/>
  <c r="J27" i="1" s="1"/>
  <c r="J21" i="1" a="1"/>
  <c r="J21" i="1" s="1"/>
  <c r="K11" i="1" a="1"/>
  <c r="K11" i="1" s="1"/>
  <c r="L11" i="1" a="1"/>
  <c r="L11" i="1" s="1"/>
  <c r="K17" i="1" a="1"/>
  <c r="K17" i="1" s="1"/>
  <c r="J17" i="1" a="1"/>
  <c r="J17" i="1" s="1"/>
  <c r="L10" i="1" a="1"/>
  <c r="L10" i="1" s="1"/>
  <c r="J16" i="1" a="1"/>
  <c r="J16" i="1" s="1"/>
  <c r="J11" i="1" a="1"/>
  <c r="J11" i="1" s="1"/>
  <c r="J9" i="1" a="1"/>
  <c r="J9" i="1" s="1"/>
  <c r="L16" i="1" a="1"/>
  <c r="L16" i="1" s="1"/>
  <c r="K9" i="1" a="1"/>
  <c r="K9" i="1" s="1"/>
  <c r="K16" i="1" a="1"/>
  <c r="K16" i="1" s="1"/>
  <c r="K10" i="1" a="1"/>
  <c r="K10" i="1" s="1"/>
  <c r="J10" i="1" a="1"/>
  <c r="J10" i="1" s="1"/>
  <c r="L9" i="1" a="1"/>
  <c r="L9" i="1" s="1"/>
  <c r="L17" i="1" a="1"/>
  <c r="L17" i="1" s="1"/>
  <c r="K6" i="1" a="1"/>
  <c r="K6" i="1" s="1"/>
  <c r="J45" i="1" a="1"/>
  <c r="J45" i="1" s="1"/>
  <c r="L7" i="1" a="1"/>
  <c r="L7" i="1" s="1"/>
  <c r="J7" i="1" a="1"/>
  <c r="J7" i="1" s="1"/>
  <c r="J6" i="1" a="1"/>
  <c r="J6" i="1" s="1"/>
  <c r="K5" i="1" a="1"/>
  <c r="K5" i="1" s="1"/>
  <c r="J5" i="1" a="1"/>
  <c r="J5" i="1" s="1"/>
  <c r="K26" i="1" a="1"/>
  <c r="K26" i="1" s="1"/>
  <c r="J26" i="1" a="1"/>
  <c r="J26" i="1" s="1"/>
  <c r="K45" i="1" a="1"/>
  <c r="K45" i="1" s="1"/>
  <c r="L5" i="1" a="1"/>
  <c r="L5" i="1" s="1"/>
  <c r="K7" i="1" a="1"/>
  <c r="K7" i="1" s="1"/>
  <c r="L6" i="1" a="1"/>
  <c r="L6" i="1" s="1"/>
  <c r="L4" i="1" a="1"/>
  <c r="L4" i="1" s="1"/>
  <c r="K4" i="1" a="1"/>
  <c r="K4" i="1" s="1"/>
  <c r="J4" i="1" a="1"/>
  <c r="J4" i="1" s="1"/>
  <c r="L123" i="1" l="1"/>
  <c r="L319" i="1"/>
  <c r="L385" i="1"/>
  <c r="L516" i="1" s="1"/>
  <c r="J400" i="1"/>
  <c r="J520" i="1" s="1"/>
  <c r="L400" i="1"/>
  <c r="L520" i="1" s="1"/>
  <c r="J399" i="1"/>
  <c r="J519" i="1" s="1"/>
  <c r="K400" i="1"/>
  <c r="K520" i="1" s="1"/>
  <c r="L380" i="1"/>
  <c r="L437" i="1" s="1"/>
  <c r="L300" i="1"/>
  <c r="L413" i="1" s="1"/>
  <c r="J301" i="1"/>
  <c r="J465" i="1" s="1"/>
  <c r="K323" i="1"/>
  <c r="K478" i="1" s="1"/>
  <c r="J385" i="1"/>
  <c r="J516" i="1" s="1"/>
  <c r="K324" i="1"/>
  <c r="K479" i="1" s="1"/>
  <c r="L384" i="1"/>
  <c r="L515" i="1" s="1"/>
  <c r="K385" i="1"/>
  <c r="K516" i="1" s="1"/>
  <c r="K382" i="1"/>
  <c r="K513" i="1" s="1"/>
  <c r="K319" i="1"/>
  <c r="K474" i="1" s="1"/>
  <c r="K300" i="1"/>
  <c r="K413" i="1" s="1"/>
  <c r="J314" i="1"/>
  <c r="J419" i="1" s="1"/>
  <c r="L399" i="1"/>
  <c r="L519" i="1" s="1"/>
  <c r="K301" i="1"/>
  <c r="K465" i="1" s="1"/>
  <c r="J300" i="1"/>
  <c r="J413" i="1" s="1"/>
  <c r="K399" i="1"/>
  <c r="K519" i="1" s="1"/>
  <c r="L301" i="1"/>
  <c r="L465" i="1" s="1"/>
  <c r="L324" i="1"/>
  <c r="L479" i="1" s="1"/>
  <c r="J325" i="1"/>
  <c r="J480" i="1" s="1"/>
  <c r="L323" i="1"/>
  <c r="L478" i="1" s="1"/>
  <c r="L325" i="1"/>
  <c r="L480" i="1" s="1"/>
  <c r="K314" i="1"/>
  <c r="K419" i="1" s="1"/>
  <c r="J384" i="1"/>
  <c r="J515" i="1" s="1"/>
  <c r="L314" i="1"/>
  <c r="L419" i="1" s="1"/>
  <c r="J386" i="1"/>
  <c r="J517" i="1" s="1"/>
  <c r="K386" i="1"/>
  <c r="K517" i="1" s="1"/>
  <c r="L386" i="1"/>
  <c r="L517" i="1" s="1"/>
  <c r="K380" i="1"/>
  <c r="K437" i="1" s="1"/>
  <c r="J380" i="1"/>
  <c r="J437" i="1" s="1"/>
  <c r="K123" i="1"/>
  <c r="L786" i="1"/>
  <c r="L787" i="1" s="1"/>
  <c r="L783" i="1"/>
  <c r="K325" i="1"/>
  <c r="K480" i="1" s="1"/>
  <c r="J320" i="1"/>
  <c r="J475" i="1" s="1"/>
  <c r="J398" i="1"/>
  <c r="J439" i="1" s="1"/>
  <c r="J323" i="1"/>
  <c r="J478" i="1" s="1"/>
  <c r="K398" i="1"/>
  <c r="K439" i="1" s="1"/>
  <c r="L320" i="1"/>
  <c r="L475" i="1" s="1"/>
  <c r="J315" i="1"/>
  <c r="J420" i="1" s="1"/>
  <c r="K318" i="1"/>
  <c r="K473" i="1" s="1"/>
  <c r="J324" i="1"/>
  <c r="J479" i="1" s="1"/>
  <c r="J128" i="1"/>
  <c r="K321" i="1"/>
  <c r="K476" i="1" s="1"/>
  <c r="J118" i="1"/>
  <c r="L322" i="1"/>
  <c r="L477" i="1" s="1"/>
  <c r="K742" i="1" a="1"/>
  <c r="K742" i="1" s="1"/>
  <c r="K744" i="1" s="1" a="1"/>
  <c r="K744" i="1" s="1"/>
  <c r="K726" i="1" a="1"/>
  <c r="K726" i="1" s="1"/>
  <c r="K728" i="1" s="1" a="1"/>
  <c r="K728" i="1" s="1"/>
  <c r="J317" i="1"/>
  <c r="J472" i="1" s="1"/>
  <c r="J241" i="1"/>
  <c r="J316" i="1" s="1"/>
  <c r="J471" i="1" s="1"/>
  <c r="J274" i="1"/>
  <c r="J363" i="1" s="1"/>
  <c r="J504" i="1" s="1"/>
  <c r="J364" i="1"/>
  <c r="K317" i="1"/>
  <c r="K472" i="1" s="1"/>
  <c r="K241" i="1"/>
  <c r="K316" i="1" s="1"/>
  <c r="K471" i="1" s="1"/>
  <c r="K274" i="1"/>
  <c r="K363" i="1" s="1"/>
  <c r="K504" i="1" s="1"/>
  <c r="K364" i="1"/>
  <c r="K198" i="1"/>
  <c r="K361" i="1" s="1"/>
  <c r="K428" i="1" s="1"/>
  <c r="K362" i="1"/>
  <c r="K429" i="1" s="1"/>
  <c r="L364" i="1"/>
  <c r="L274" i="1"/>
  <c r="L363" i="1" s="1"/>
  <c r="L504" i="1" s="1"/>
  <c r="J283" i="1"/>
  <c r="J382" i="1" s="1"/>
  <c r="J513" i="1" s="1"/>
  <c r="J383" i="1"/>
  <c r="J514" i="1" s="1"/>
  <c r="L726" i="1" a="1"/>
  <c r="L726" i="1" s="1"/>
  <c r="L728" i="1" s="1" a="1"/>
  <c r="L728" i="1" s="1"/>
  <c r="L742" i="1" a="1"/>
  <c r="L742" i="1" s="1"/>
  <c r="L744" i="1" s="1" a="1"/>
  <c r="L744" i="1" s="1"/>
  <c r="J742" i="1" a="1"/>
  <c r="J742" i="1" s="1"/>
  <c r="J744" i="1" s="1" a="1"/>
  <c r="J744" i="1" s="1"/>
  <c r="J726" i="1" a="1"/>
  <c r="J726" i="1" s="1"/>
  <c r="J728" i="1" s="1" a="1"/>
  <c r="J728" i="1" s="1"/>
  <c r="J362" i="1"/>
  <c r="J429" i="1" s="1"/>
  <c r="L362" i="1"/>
  <c r="L429" i="1" s="1"/>
  <c r="J122" i="1"/>
  <c r="J318" i="1"/>
  <c r="J473" i="1" s="1"/>
  <c r="K383" i="1"/>
  <c r="K514" i="1" s="1"/>
  <c r="L119" i="1"/>
  <c r="L315" i="1"/>
  <c r="L420" i="1" s="1"/>
  <c r="L383" i="1"/>
  <c r="L514" i="1" s="1"/>
  <c r="K320" i="1"/>
  <c r="K475" i="1" s="1"/>
  <c r="J321" i="1"/>
  <c r="J476" i="1" s="1"/>
  <c r="K122" i="1"/>
  <c r="L316" i="1"/>
  <c r="L471" i="1" s="1"/>
  <c r="L382" i="1"/>
  <c r="L513" i="1" s="1"/>
  <c r="K315" i="1"/>
  <c r="K420" i="1" s="1"/>
  <c r="L317" i="1"/>
  <c r="L472" i="1" s="1"/>
  <c r="J786" i="1"/>
  <c r="J787" i="1" s="1"/>
  <c r="L321" i="1"/>
  <c r="L476" i="1" s="1"/>
  <c r="K786" i="1"/>
  <c r="K787" i="1" s="1"/>
  <c r="L318" i="1"/>
  <c r="L473" i="1" s="1"/>
  <c r="J322" i="1"/>
  <c r="J477" i="1" s="1"/>
  <c r="J319" i="1"/>
  <c r="J474" i="1" s="1"/>
  <c r="K384" i="1"/>
  <c r="K515" i="1" s="1"/>
  <c r="K322" i="1"/>
  <c r="K477" i="1" s="1"/>
  <c r="K128" i="1"/>
  <c r="L398" i="1"/>
  <c r="L439" i="1" s="1"/>
  <c r="J925" i="1"/>
  <c r="J924" i="1" s="1"/>
  <c r="J903" i="1"/>
  <c r="L925" i="1"/>
  <c r="L924" i="1" s="1"/>
  <c r="L903" i="1"/>
  <c r="K903" i="1"/>
  <c r="K925" i="1"/>
  <c r="K924" i="1" s="1"/>
  <c r="K899" i="1"/>
  <c r="J899" i="1"/>
  <c r="J902" i="1"/>
  <c r="L899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9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10" i="1" l="1"/>
  <c r="L474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624" i="1" s="1"/>
  <c r="L1040" i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05" i="1"/>
  <c r="L1002" i="1" s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014" i="1"/>
  <c r="L1011" i="1" s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050" i="1"/>
  <c r="L2315" i="1"/>
  <c r="L1073" i="1"/>
  <c r="L1470" i="1"/>
  <c r="L1584" i="1"/>
  <c r="L1635" i="1"/>
  <c r="L1688" i="1"/>
  <c r="L470" i="1" l="1"/>
  <c r="L1037" i="1"/>
  <c r="L1555" i="1"/>
  <c r="L1160" i="1"/>
  <c r="L1602" i="1"/>
  <c r="L1511" i="1"/>
  <c r="L1652" i="1"/>
  <c r="L1161" i="1"/>
  <c r="L1603" i="1"/>
  <c r="L1653" i="1"/>
  <c r="L1512" i="1"/>
  <c r="L1556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0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617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96" i="1"/>
  <c r="L1206" i="1"/>
  <c r="L1414" i="1"/>
  <c r="L1562" i="1"/>
  <c r="L1183" i="1"/>
  <c r="L1658" i="1"/>
  <c r="L1659" i="1" s="1"/>
  <c r="L1570" i="1"/>
  <c r="L1344" i="1"/>
  <c r="L1428" i="1"/>
  <c r="L1571" i="1"/>
  <c r="L1618" i="1"/>
  <c r="L1207" i="1"/>
  <c r="L1429" i="1"/>
  <c r="L1345" i="1"/>
  <c r="L1331" i="1"/>
  <c r="L1610" i="1"/>
  <c r="L1415" i="1"/>
  <c r="L1184" i="1"/>
  <c r="L1563" i="1"/>
  <c r="L1330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882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430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85" i="1"/>
  <c r="L1561" i="1"/>
  <c r="L1560" i="1" s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8" i="1" l="1"/>
  <c r="L736" i="1"/>
  <c r="L737" i="1" s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1" i="1" s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21" i="1" l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G1653" i="1"/>
  <c r="H1653" i="1"/>
  <c r="I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H1571" i="1" l="1"/>
  <c r="I1571" i="1"/>
  <c r="F1618" i="1"/>
  <c r="H1618" i="1"/>
  <c r="G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H1610" i="1" l="1"/>
  <c r="F1556" i="1"/>
  <c r="H1603" i="1"/>
  <c r="G1563" i="1"/>
  <c r="I1603" i="1"/>
  <c r="I1556" i="1"/>
  <c r="H1563" i="1"/>
  <c r="G1603" i="1"/>
  <c r="I1610" i="1"/>
  <c r="F1603" i="1"/>
  <c r="G1556" i="1"/>
  <c r="I1563" i="1"/>
  <c r="F1610" i="1"/>
  <c r="H1556" i="1"/>
  <c r="F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G1429" i="1" l="1"/>
  <c r="H1512" i="1"/>
  <c r="F1512" i="1"/>
  <c r="F1415" i="1"/>
  <c r="H1429" i="1"/>
  <c r="I1429" i="1"/>
  <c r="I1415" i="1"/>
  <c r="H1415" i="1"/>
  <c r="G1512" i="1"/>
  <c r="I1512" i="1"/>
  <c r="F1429" i="1"/>
  <c r="G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F1331" i="1" l="1"/>
  <c r="H1331" i="1"/>
  <c r="I1345" i="1"/>
  <c r="H1345" i="1"/>
  <c r="I1331" i="1"/>
  <c r="F1345" i="1"/>
  <c r="G1345" i="1"/>
  <c r="G1331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H1207" i="1"/>
  <c r="F1184" i="1"/>
  <c r="I1184" i="1"/>
  <c r="F1207" i="1"/>
  <c r="H1184" i="1"/>
  <c r="G1184" i="1"/>
  <c r="G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F1616" i="1"/>
  <c r="F1615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J49" i="1"/>
  <c r="J1570" i="1" s="1"/>
  <c r="J1428" i="1" l="1"/>
  <c r="J1206" i="1"/>
  <c r="J1344" i="1"/>
  <c r="K1571" i="1"/>
  <c r="K1345" i="1"/>
  <c r="K1618" i="1"/>
  <c r="K1429" i="1"/>
  <c r="K1207" i="1"/>
  <c r="K1344" i="1"/>
  <c r="K1570" i="1"/>
  <c r="K1617" i="1"/>
  <c r="K1206" i="1"/>
  <c r="K1428" i="1"/>
  <c r="J1618" i="1"/>
  <c r="J1345" i="1"/>
  <c r="J1207" i="1"/>
  <c r="J1571" i="1"/>
  <c r="J1429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F1652" i="1"/>
  <c r="F1555" i="1"/>
  <c r="F1602" i="1"/>
  <c r="F1511" i="1"/>
  <c r="F1160" i="1"/>
  <c r="I1652" i="1"/>
  <c r="I1651" i="1" s="1"/>
  <c r="I1555" i="1"/>
  <c r="I1554" i="1" s="1"/>
  <c r="I1553" i="1" s="1"/>
  <c r="I1602" i="1"/>
  <c r="I1601" i="1" s="1"/>
  <c r="I1600" i="1" s="1"/>
  <c r="I1511" i="1"/>
  <c r="I1510" i="1" s="1"/>
  <c r="I1509" i="1" s="1"/>
  <c r="I1160" i="1"/>
  <c r="I1159" i="1" s="1"/>
  <c r="I1158" i="1" s="1"/>
  <c r="H1658" i="1"/>
  <c r="H1659" i="1" s="1"/>
  <c r="H1609" i="1"/>
  <c r="H1608" i="1" s="1"/>
  <c r="H1607" i="1" s="1"/>
  <c r="H1562" i="1"/>
  <c r="H1561" i="1" s="1"/>
  <c r="H1560" i="1" s="1"/>
  <c r="H1414" i="1"/>
  <c r="H1413" i="1" s="1"/>
  <c r="H1412" i="1" s="1"/>
  <c r="H1330" i="1"/>
  <c r="H1329" i="1" s="1"/>
  <c r="H1328" i="1" s="1"/>
  <c r="H1183" i="1"/>
  <c r="H1652" i="1"/>
  <c r="H1602" i="1"/>
  <c r="H1555" i="1"/>
  <c r="H1511" i="1"/>
  <c r="H1160" i="1"/>
  <c r="H1159" i="1" s="1"/>
  <c r="H1158" i="1" s="1"/>
  <c r="F1658" i="1"/>
  <c r="F1659" i="1" s="1"/>
  <c r="F1609" i="1"/>
  <c r="F1608" i="1" s="1"/>
  <c r="F1607" i="1" s="1"/>
  <c r="F1562" i="1"/>
  <c r="F1561" i="1" s="1"/>
  <c r="F1560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G1651" i="1"/>
  <c r="G1601" i="1"/>
  <c r="G1600" i="1" s="1"/>
  <c r="G1554" i="1"/>
  <c r="G1553" i="1" s="1"/>
  <c r="G1510" i="1"/>
  <c r="G1509" i="1" s="1"/>
  <c r="G1159" i="1"/>
  <c r="G1158" i="1" s="1"/>
  <c r="F1651" i="1"/>
  <c r="F1601" i="1"/>
  <c r="F1600" i="1" s="1"/>
  <c r="F1554" i="1"/>
  <c r="F1553" i="1" s="1"/>
  <c r="F1510" i="1"/>
  <c r="F1509" i="1" s="1"/>
  <c r="F1159" i="1"/>
  <c r="F1158" i="1" s="1"/>
  <c r="H1182" i="1"/>
  <c r="H1181" i="1" s="1"/>
  <c r="I1561" i="1"/>
  <c r="I1560" i="1" s="1"/>
  <c r="H1651" i="1"/>
  <c r="H1601" i="1"/>
  <c r="H1600" i="1" s="1"/>
  <c r="H1554" i="1"/>
  <c r="H1553" i="1" s="1"/>
  <c r="H1510" i="1"/>
  <c r="H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562" i="1"/>
  <c r="K1330" i="1"/>
  <c r="K1160" i="1"/>
  <c r="J1609" i="1"/>
  <c r="K1609" i="1"/>
  <c r="K1511" i="1"/>
  <c r="J1658" i="1"/>
  <c r="J1659" i="1" s="1"/>
  <c r="K1414" i="1"/>
  <c r="K1555" i="1"/>
  <c r="K1562" i="1"/>
  <c r="K1602" i="1"/>
  <c r="K1183" i="1"/>
  <c r="J1556" i="1"/>
  <c r="J1603" i="1"/>
  <c r="J1653" i="1"/>
  <c r="J1512" i="1"/>
  <c r="J1161" i="1"/>
  <c r="J1160" i="1"/>
  <c r="J1511" i="1"/>
  <c r="J1555" i="1"/>
  <c r="K1184" i="1"/>
  <c r="K1331" i="1"/>
  <c r="K1563" i="1"/>
  <c r="K1610" i="1"/>
  <c r="K1415" i="1"/>
  <c r="J1602" i="1"/>
  <c r="J1331" i="1"/>
  <c r="J1184" i="1"/>
  <c r="J1563" i="1"/>
  <c r="J1415" i="1"/>
  <c r="J1610" i="1"/>
  <c r="K1512" i="1"/>
  <c r="K1556" i="1"/>
  <c r="K1161" i="1"/>
  <c r="K1603" i="1"/>
  <c r="K1653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485" i="1" l="1"/>
  <c r="I370" i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492" i="1" l="1"/>
  <c r="I342" i="1"/>
  <c r="I326" i="1" s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<sst xmlns="http://schemas.openxmlformats.org/spreadsheetml/2006/main" count="5204" uniqueCount="2482">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</sst>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2035.xlsx" TargetMode="External"/><Relationship Id="rId2" Type="http://schemas.openxmlformats.org/officeDocument/2006/relationships/externalLinkPath" Target="file:///J:\WP07%20integrated%20modelling\STEM_Results\sps2_secur_bsm_2035.xlsx" TargetMode="External"/><Relationship Id="rId1" Type="http://schemas.openxmlformats.org/officeDocument/2006/relationships/externalLinkPath" Target="/WP07%20integrated%20modelling/STEM_Results/sps2_secur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2_SECUR_BSM_SOC_High_2035.xlsx" TargetMode="External"/><Relationship Id="rId2" Type="http://schemas.openxmlformats.org/officeDocument/2006/relationships/externalLinkPath" Target="file:///J:\WP07%20integrated%20modelling\STEM_Results\SPS2_SECUR_BSM_SOC_High_2035.xlsx" TargetMode="External"/><Relationship Id="rId1" Type="http://schemas.openxmlformats.org/officeDocument/2006/relationships/externalLinkPath" Target="/WP07%20integrated%20modelling/STEM_Results/SPS2_SECUR_BSM_SOC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2.7253364178805164E-2</v>
          </cell>
          <cell r="H4">
            <v>2.0026126852276405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7.5842870109640061E-3</v>
          </cell>
          <cell r="H5">
            <v>1.7763007963176272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3.1863701387257982E-3</v>
          </cell>
          <cell r="H6">
            <v>9.3267897635259216E-3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2.6741594225945294E-3</v>
          </cell>
          <cell r="H7">
            <v>1.1531668174679682E-2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3.3878488646261408E-3</v>
          </cell>
          <cell r="H8">
            <v>1.074040678042504E-2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3.4704394106438042E-3</v>
          </cell>
          <cell r="H9">
            <v>8.4878126237505416E-2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3.7790845133765568E-3</v>
          </cell>
          <cell r="H10">
            <v>0.10047171538351862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3.1711748178743552E-3</v>
          </cell>
          <cell r="H11">
            <v>9.3631825703583381E-3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8.0292630093002762E-2</v>
          </cell>
          <cell r="G12">
            <v>9.4036206953870757E-2</v>
          </cell>
          <cell r="H12">
            <v>9.8791809044325954E-2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8.0292630093002762E-2</v>
          </cell>
          <cell r="G13">
            <v>9.4036206953870757E-2</v>
          </cell>
          <cell r="H13">
            <v>9.8791809044325954E-2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1.02686387346666E-2</v>
          </cell>
          <cell r="G14">
            <v>2.4349031093276398E-3</v>
          </cell>
          <cell r="H14">
            <v>0.195904288180237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1.02686387346666E-2</v>
          </cell>
          <cell r="G15">
            <v>1.02686387346666E-2</v>
          </cell>
          <cell r="H15">
            <v>1.02686387346666E-2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3.2685571165362615</v>
          </cell>
          <cell r="F16">
            <v>3.8321672880200586</v>
          </cell>
          <cell r="G16">
            <v>0.60927028493672275</v>
          </cell>
          <cell r="H16">
            <v>0.76445178778467615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3.2685571165362615</v>
          </cell>
          <cell r="F17">
            <v>3.8321672880200586</v>
          </cell>
          <cell r="G17">
            <v>0.60927028493672275</v>
          </cell>
          <cell r="H17">
            <v>0.76445178778467615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0.67022153480345359</v>
          </cell>
          <cell r="F18">
            <v>0.2165257068792647</v>
          </cell>
          <cell r="G18">
            <v>0.47426138968811049</v>
          </cell>
          <cell r="H18">
            <v>5.1811120007294945E-2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2.0858241054435065</v>
          </cell>
          <cell r="F19">
            <v>0.63099660845370864</v>
          </cell>
          <cell r="G19">
            <v>1.2412644089014604</v>
          </cell>
          <cell r="H19">
            <v>0.10996260969396542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118.503969228359</v>
          </cell>
          <cell r="F20">
            <v>34.810973595745502</v>
          </cell>
          <cell r="G20">
            <v>76.192413256433497</v>
          </cell>
          <cell r="H20">
            <v>8.3480155086220904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2.1011342061765723</v>
          </cell>
          <cell r="F21">
            <v>0.61721584389619677</v>
          </cell>
          <cell r="G21">
            <v>1.3509293130573314</v>
          </cell>
          <cell r="H21">
            <v>0.14801445937273203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1.3583102283850299E-5</v>
          </cell>
          <cell r="G22">
            <v>1.73569168056178E-3</v>
          </cell>
          <cell r="H22">
            <v>3.48541316175593E-3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4.5701033344932203E-2</v>
          </cell>
          <cell r="F23">
            <v>3.3830713134860552E-2</v>
          </cell>
          <cell r="G23">
            <v>2.5276254932664131E-2</v>
          </cell>
          <cell r="H23">
            <v>1.2310992878392848E-2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6.7991233862165927</v>
          </cell>
          <cell r="F24">
            <v>9.7962296817703486E-3</v>
          </cell>
          <cell r="G24">
            <v>8.4415287670235387E-3</v>
          </cell>
          <cell r="H24">
            <v>3.8438980557683514E-3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6.7991233862165927</v>
          </cell>
          <cell r="F25">
            <v>9.7962296817703486E-3</v>
          </cell>
          <cell r="G25">
            <v>8.4415287670235387E-3</v>
          </cell>
          <cell r="H25">
            <v>3.8438980557683514E-3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2.9552484495599599E-5</v>
          </cell>
          <cell r="F26">
            <v>2.79849457975289E-5</v>
          </cell>
          <cell r="G26">
            <v>4.6250605853287297E-5</v>
          </cell>
          <cell r="H26">
            <v>3.87393901107689E-5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1.4779781288644649</v>
          </cell>
          <cell r="F27">
            <v>1.0129311534379903E-2</v>
          </cell>
          <cell r="G27">
            <v>9.7547487334299632E-3</v>
          </cell>
          <cell r="H27">
            <v>9.0295524008858763E-3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2.5273814198770065E-2</v>
          </cell>
          <cell r="F28">
            <v>2.5340972593243614E-2</v>
          </cell>
          <cell r="G28">
            <v>0.18634772672368072</v>
          </cell>
          <cell r="H28">
            <v>0.51232319654089542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2.527381419877003E-2</v>
          </cell>
          <cell r="F29">
            <v>2.5340972593243589E-2</v>
          </cell>
          <cell r="G29">
            <v>0.18634772672368052</v>
          </cell>
          <cell r="H29">
            <v>0.51232319654089487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2.8065798617031283E-2</v>
          </cell>
          <cell r="F30">
            <v>2.8114427363918042E-2</v>
          </cell>
          <cell r="G30">
            <v>0.20609229772441351</v>
          </cell>
          <cell r="H30">
            <v>0.56657435010208379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2.8065798617031283E-2</v>
          </cell>
          <cell r="F31">
            <v>2.8114427363918042E-2</v>
          </cell>
          <cell r="G31">
            <v>0.20609229772441351</v>
          </cell>
          <cell r="H31">
            <v>0.56657435010208379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1.0446407934496501E-2</v>
          </cell>
          <cell r="F32">
            <v>2.03944171320226E-5</v>
          </cell>
          <cell r="G32">
            <v>0.115044101282492</v>
          </cell>
          <cell r="H32">
            <v>8.7155393664396799E-2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1.0448184434593983E-2</v>
          </cell>
          <cell r="F33">
            <v>1.0463179400263247E-2</v>
          </cell>
          <cell r="G33">
            <v>0.12549833836302349</v>
          </cell>
          <cell r="H33">
            <v>0.20984454133192129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5.0903397872888135E-4</v>
          </cell>
          <cell r="F34">
            <v>3.3573154522793065E-3</v>
          </cell>
          <cell r="G34">
            <v>3.5252322820754567</v>
          </cell>
          <cell r="H34">
            <v>5.4674020221640713E-4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5.0903397872888048E-4</v>
          </cell>
          <cell r="F35">
            <v>3.3545735275569031E-3</v>
          </cell>
          <cell r="G35">
            <v>3.52073581232791</v>
          </cell>
          <cell r="H35">
            <v>5.4674020221640788E-4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4.1895800659060917E-4</v>
          </cell>
          <cell r="F36">
            <v>4.0855577096282035E-3</v>
          </cell>
          <cell r="G36">
            <v>4.1964691928659743</v>
          </cell>
          <cell r="H36">
            <v>5.4674020221640713E-4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4.1895800659060917E-4</v>
          </cell>
          <cell r="F37">
            <v>4.0855577096282035E-3</v>
          </cell>
          <cell r="G37">
            <v>4.1964691928659743</v>
          </cell>
          <cell r="H37">
            <v>5.4674020221640713E-4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8.8711210107605201E-2</v>
          </cell>
          <cell r="F38">
            <v>2.2286332843044401E-3</v>
          </cell>
          <cell r="G38">
            <v>0.13561787384319501</v>
          </cell>
          <cell r="H38">
            <v>2.8593530783230199E-4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8.8711210107605201E-2</v>
          </cell>
          <cell r="F39">
            <v>9.0868450663393718E-2</v>
          </cell>
          <cell r="G39">
            <v>0.22610204518494195</v>
          </cell>
          <cell r="H39">
            <v>4.2465498080529018E-2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1.6716200587922947E-2</v>
          </cell>
          <cell r="H40">
            <v>1.0356815858298223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4.881770739496024E-3</v>
          </cell>
          <cell r="H41">
            <v>0.56738132489051663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1.7617598061979984E-3</v>
          </cell>
          <cell r="H42">
            <v>3.3481163898849897E-3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1.6023887477762274E-3</v>
          </cell>
          <cell r="H43">
            <v>3.400953350775724E-3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1.8855458265981597E-3</v>
          </cell>
          <cell r="H44">
            <v>3.4152737030401512E-3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2.341117017079875E-3</v>
          </cell>
          <cell r="H45">
            <v>0.16601981696131046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2.487662774011573E-3</v>
          </cell>
          <cell r="H46">
            <v>0.28877081848895464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1.7559556767630887E-3</v>
          </cell>
          <cell r="H47">
            <v>3.3452820453402838E-3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1.7992197827938499E-5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1.7992197827938499E-5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2.4299972021673368E-2</v>
          </cell>
          <cell r="F52">
            <v>2.4394370907758929E-2</v>
          </cell>
          <cell r="G52">
            <v>0.13167801759902156</v>
          </cell>
          <cell r="H52">
            <v>0.28044231849520679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2.4299972021673343E-2</v>
          </cell>
          <cell r="F53">
            <v>2.4394370907758912E-2</v>
          </cell>
          <cell r="G53">
            <v>0.13167801759902142</v>
          </cell>
          <cell r="H53">
            <v>0.28044231849520646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2.6988860836167975E-2</v>
          </cell>
          <cell r="F54">
            <v>2.7063249737833448E-2</v>
          </cell>
          <cell r="G54">
            <v>0.14563440610302489</v>
          </cell>
          <cell r="H54">
            <v>0.31014545012189976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2.6988860836167975E-2</v>
          </cell>
          <cell r="F55">
            <v>2.7063249737833448E-2</v>
          </cell>
          <cell r="G55">
            <v>0.14563440610302489</v>
          </cell>
          <cell r="H55">
            <v>0.31014545012189976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1.00410939041946E-2</v>
          </cell>
          <cell r="F56">
            <v>1.8785329182832801E-5</v>
          </cell>
          <cell r="G56">
            <v>6.1457699811451397E-2</v>
          </cell>
          <cell r="H56">
            <v>4.6053601755835998E-2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1.0042638807873625E-2</v>
          </cell>
          <cell r="F57">
            <v>1.0056056809871984E-2</v>
          </cell>
          <cell r="G57">
            <v>7.1502404852610613E-2</v>
          </cell>
          <cell r="H57">
            <v>0.11485678790357512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5.4722919745918884E-2</v>
          </cell>
          <cell r="G65">
            <v>3.4194417493835089E-3</v>
          </cell>
          <cell r="H65">
            <v>0.16441057041326471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3.2441566801198554</v>
          </cell>
          <cell r="F66">
            <v>3.8271834983213817</v>
          </cell>
          <cell r="G66">
            <v>4.9630346394655369</v>
          </cell>
          <cell r="H66">
            <v>5.8981026393857814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3.082908899073729</v>
          </cell>
          <cell r="F67">
            <v>3.5393268763488424</v>
          </cell>
          <cell r="G67">
            <v>1.6035797939051133</v>
          </cell>
          <cell r="H67">
            <v>2.1572173489483526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2.0131047531767807</v>
          </cell>
          <cell r="F68">
            <v>1.8879617069428996</v>
          </cell>
          <cell r="G68">
            <v>1.723070490059023</v>
          </cell>
          <cell r="H68">
            <v>2.6346427750573715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0.35038320116997812</v>
          </cell>
          <cell r="G69">
            <v>5.8877796156853054E-2</v>
          </cell>
          <cell r="H69">
            <v>0.2576850732650941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9.2189163284720301</v>
          </cell>
          <cell r="F70">
            <v>10.676183546015393</v>
          </cell>
          <cell r="G70">
            <v>9.2102728170518571</v>
          </cell>
          <cell r="H70">
            <v>12.209058898588196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0.62872578402729395</v>
          </cell>
          <cell r="F71">
            <v>9.8494481158043597E-6</v>
          </cell>
          <cell r="G71">
            <v>7.4855704138889197E-6</v>
          </cell>
          <cell r="H71">
            <v>8.5454131953277205E-6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0.62872578402729395</v>
          </cell>
          <cell r="F72">
            <v>0.62873563347540995</v>
          </cell>
          <cell r="G72">
            <v>0.62874311904582303</v>
          </cell>
          <cell r="H72">
            <v>0.62875166445901898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8.3828760523550969E-2</v>
          </cell>
          <cell r="F73">
            <v>2.2206403513057556E-3</v>
          </cell>
          <cell r="G73">
            <v>3.12019651588453E-2</v>
          </cell>
          <cell r="H73">
            <v>2.0736861542494738E-3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8.3828760523551149E-2</v>
          </cell>
          <cell r="F74">
            <v>2.2191609106986272E-3</v>
          </cell>
          <cell r="G74">
            <v>3.1169496932873623E-2</v>
          </cell>
          <cell r="H74">
            <v>2.0736861542494738E-3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0.11198115970296284</v>
          </cell>
          <cell r="F75">
            <v>2.9604451551563903E-3</v>
          </cell>
          <cell r="G75">
            <v>4.0312969956113422E-2</v>
          </cell>
          <cell r="H75">
            <v>1.6225715661741652E-3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0.11198115970296284</v>
          </cell>
          <cell r="F76">
            <v>2.9604451551563903E-3</v>
          </cell>
          <cell r="G76">
            <v>4.0312969956113422E-2</v>
          </cell>
          <cell r="H76">
            <v>1.6225715661741652E-3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4.0369479926163999E-2</v>
          </cell>
          <cell r="F77">
            <v>7.6540804735273705E-4</v>
          </cell>
          <cell r="G77">
            <v>5.0511079792634795E-4</v>
          </cell>
          <cell r="H77">
            <v>2.86568408455225E-4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4.0369479926163999E-2</v>
          </cell>
          <cell r="F78">
            <v>4.105945610095927E-2</v>
          </cell>
          <cell r="G78">
            <v>4.1294380558358386E-2</v>
          </cell>
          <cell r="H78">
            <v>3.95431540819947E-2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8.38210108597394E-5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8.38210108597394E-5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3.5601573608479287</v>
          </cell>
          <cell r="F81">
            <v>3.4647541095190793</v>
          </cell>
          <cell r="G81">
            <v>0.12899021100237884</v>
          </cell>
          <cell r="H81">
            <v>4.382933590500058E-3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330.02658735060299</v>
          </cell>
          <cell r="F82">
            <v>321.18270595241898</v>
          </cell>
          <cell r="G82">
            <v>11.9573925599205</v>
          </cell>
          <cell r="H82">
            <v>0.40629794383935502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3.5601573608479287</v>
          </cell>
          <cell r="F83">
            <v>3.4647541095190793</v>
          </cell>
          <cell r="G83">
            <v>0.12899021100237884</v>
          </cell>
          <cell r="H83">
            <v>4.382933590500058E-3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3.9054481398688701E-3</v>
          </cell>
          <cell r="F84">
            <v>2.1316013401332014E-3</v>
          </cell>
          <cell r="G84">
            <v>1.166953095208443E-3</v>
          </cell>
          <cell r="H84">
            <v>2.0737962826337802E-3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3.905448139868881E-3</v>
          </cell>
          <cell r="F85">
            <v>2.130181219320325E-3</v>
          </cell>
          <cell r="G85">
            <v>1.1657387839751376E-3</v>
          </cell>
          <cell r="H85">
            <v>2.0737962826337802E-3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2.9728214698396521E-3</v>
          </cell>
          <cell r="F86">
            <v>1.5680200407907239E-3</v>
          </cell>
          <cell r="G86">
            <v>9.2539583080044913E-4</v>
          </cell>
          <cell r="H86">
            <v>1.6226542675106114E-3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2.9728214698396521E-3</v>
          </cell>
          <cell r="F87">
            <v>1.5680200407907239E-3</v>
          </cell>
          <cell r="G87">
            <v>9.2539583080044913E-4</v>
          </cell>
          <cell r="H87">
            <v>1.6226542675106114E-3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3.8323857230168498E-2</v>
          </cell>
          <cell r="F88">
            <v>9.5995648445078405E-4</v>
          </cell>
          <cell r="G88">
            <v>9.5977207760120998E-4</v>
          </cell>
          <cell r="H88">
            <v>6.8094853561305403E-4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3.8323857230168498E-2</v>
          </cell>
          <cell r="F89">
            <v>3.9153811031567398E-2</v>
          </cell>
          <cell r="G89">
            <v>3.9675875080606694E-2</v>
          </cell>
          <cell r="H89">
            <v>3.9443969669737601E-2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328.63595314250398</v>
          </cell>
          <cell r="F98">
            <v>51.047710713935899</v>
          </cell>
          <cell r="G98">
            <v>21.034566130106199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6.0384889906954458</v>
          </cell>
          <cell r="F99">
            <v>0.90360314582001289</v>
          </cell>
          <cell r="G99">
            <v>0.43274277147993545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5.8268786018174561</v>
          </cell>
          <cell r="F101">
            <v>0.90510125379318973</v>
          </cell>
          <cell r="G101">
            <v>0.37295330017918826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0.23090106408996414</v>
          </cell>
          <cell r="F102">
            <v>1.8160741708219189E-3</v>
          </cell>
          <cell r="G102">
            <v>6.1171919835109959E-2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4.4949139189688999E-4</v>
          </cell>
          <cell r="F104">
            <v>8.7722318818523392E-6</v>
          </cell>
          <cell r="G104">
            <v>9.5199081937090492E-6</v>
          </cell>
          <cell r="H104">
            <v>1.2417769444107199E-5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1.027961485932877</v>
          </cell>
          <cell r="F105">
            <v>1.0279702581647587</v>
          </cell>
          <cell r="G105">
            <v>1.0279797780729525</v>
          </cell>
          <cell r="H105">
            <v>1.0279921958423965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696.84428324072303</v>
          </cell>
          <cell r="F106">
            <v>659.57888989984804</v>
          </cell>
          <cell r="G106">
            <v>657.33725117208303</v>
          </cell>
          <cell r="H106">
            <v>529.46975774415296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9.2972343502235013</v>
          </cell>
          <cell r="F107">
            <v>8.800042791971638</v>
          </cell>
          <cell r="G107">
            <v>8.7710485782458143</v>
          </cell>
          <cell r="H107">
            <v>7.2996031348107948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9.455146312628532</v>
          </cell>
          <cell r="F108">
            <v>8.9495100393466611</v>
          </cell>
          <cell r="G108">
            <v>8.9190943171246015</v>
          </cell>
          <cell r="H108">
            <v>7.1841215433399217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1.03544304550713E-3</v>
          </cell>
          <cell r="H109">
            <v>0.23949978993615362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1.7331149429487607</v>
          </cell>
          <cell r="F110">
            <v>0.70059861527119149</v>
          </cell>
          <cell r="G110">
            <v>7.2432940192724088E-2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114.397693864744</v>
          </cell>
          <cell r="F111">
            <v>46.244403025856897</v>
          </cell>
          <cell r="G111">
            <v>4.7810800729652296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2.0283279054032661</v>
          </cell>
          <cell r="F112">
            <v>0.81993622386271225</v>
          </cell>
          <cell r="G112">
            <v>8.4770923279525318E-2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9.9182453161468298E-5</v>
          </cell>
          <cell r="F113">
            <v>5.5765529939379602E-5</v>
          </cell>
          <cell r="G113">
            <v>4.8455831183259301E-5</v>
          </cell>
          <cell r="H113">
            <v>2.8693510470125501E-5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0.25384328483272939</v>
          </cell>
          <cell r="F114">
            <v>0.10140165366822385</v>
          </cell>
          <cell r="G114">
            <v>5.2995512344970019E-2</v>
          </cell>
          <cell r="H114">
            <v>3.7960644996820614E-4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15.013856275659503</v>
          </cell>
          <cell r="F115">
            <v>0.94657119544528923</v>
          </cell>
          <cell r="G115">
            <v>0.51305837026265</v>
          </cell>
          <cell r="H115">
            <v>0.52562360039349076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15.013856275659503</v>
          </cell>
          <cell r="F116">
            <v>0.94657119544528923</v>
          </cell>
          <cell r="G116">
            <v>0.51305837026265</v>
          </cell>
          <cell r="H116">
            <v>0.52562360039349076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3.0149863756528002E-5</v>
          </cell>
          <cell r="F117">
            <v>2.6355931948911201E-5</v>
          </cell>
          <cell r="G117">
            <v>3.8117398272215698E-5</v>
          </cell>
          <cell r="H117">
            <v>5.2605302383911098E-5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0.57702517082694194</v>
          </cell>
          <cell r="F118">
            <v>0.10158953295801987</v>
          </cell>
          <cell r="G118">
            <v>0.10143568445415996</v>
          </cell>
          <cell r="H118">
            <v>0.10143048960598522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1.4349725786644258</v>
          </cell>
          <cell r="F119">
            <v>1.3007946381252773</v>
          </cell>
          <cell r="G119">
            <v>1.2394965147363657</v>
          </cell>
          <cell r="H119">
            <v>1.3552243239983826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14.461386032860608</v>
          </cell>
          <cell r="F120">
            <v>13.06429502478572</v>
          </cell>
          <cell r="G120">
            <v>12.384524026407272</v>
          </cell>
          <cell r="H120">
            <v>13.423956535214588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2843.2803045784799</v>
          </cell>
          <cell r="F121">
            <v>2577.4177359718101</v>
          </cell>
          <cell r="G121">
            <v>2455.9605391370601</v>
          </cell>
          <cell r="H121">
            <v>2685.2656880012801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30.638796385543994</v>
          </cell>
          <cell r="F122">
            <v>27.773898016937611</v>
          </cell>
          <cell r="G122">
            <v>26.465092016563155</v>
          </cell>
          <cell r="H122">
            <v>28.93605267242755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7.2413854533022801E-6</v>
          </cell>
          <cell r="G123">
            <v>4.0133576567924799E-6</v>
          </cell>
          <cell r="H123">
            <v>2.9064328118965899E-3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7.8399388895541613E-2</v>
          </cell>
          <cell r="F124">
            <v>7.1209981135797421E-2</v>
          </cell>
          <cell r="G124">
            <v>7.1168742030482721E-2</v>
          </cell>
          <cell r="H124">
            <v>7.4049215095624857E-2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20.847900448093199</v>
          </cell>
          <cell r="F125">
            <v>2.0141281347758002</v>
          </cell>
          <cell r="G125">
            <v>5.3388726385875902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3.9655311133265141E-2</v>
          </cell>
          <cell r="F126">
            <v>9.1730093739014404E-3</v>
          </cell>
          <cell r="G126">
            <v>1.2781126079905466E-2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9.5466489765268003E-2</v>
          </cell>
          <cell r="F127">
            <v>2.1859912285741887E-2</v>
          </cell>
          <cell r="G127">
            <v>2.9991690034063927E-2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0.36964362496619191</v>
          </cell>
          <cell r="F128">
            <v>3.5711491751343902E-2</v>
          </cell>
          <cell r="G128">
            <v>9.4660862386304723E-2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1.4497041605308599E-4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4.186609550019503E-3</v>
          </cell>
          <cell r="F130">
            <v>1.6833878303224802E-3</v>
          </cell>
          <cell r="G130">
            <v>1.2697667895523082E-3</v>
          </cell>
          <cell r="H130">
            <v>1.0048956899011297E-3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1.2309834003634899E-4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1.2309834003634899E-4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28.948670600564245</v>
          </cell>
          <cell r="F133">
            <v>21.080686840054629</v>
          </cell>
          <cell r="G133">
            <v>26.594131344599681</v>
          </cell>
          <cell r="H133">
            <v>18.064614718796527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28.948670600564245</v>
          </cell>
          <cell r="F134">
            <v>21.080686840054629</v>
          </cell>
          <cell r="G134">
            <v>26.594131344599681</v>
          </cell>
          <cell r="H134">
            <v>18.064614718796527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4.4074053768257897E-5</v>
          </cell>
          <cell r="F135">
            <v>4.5268564639721298E-5</v>
          </cell>
          <cell r="G135">
            <v>1.6909968179793899E-4</v>
          </cell>
          <cell r="H135">
            <v>4.4523073241247303E-5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1.6999745201684109</v>
          </cell>
          <cell r="F136">
            <v>1.699952335821846</v>
          </cell>
          <cell r="G136">
            <v>1.6999418488649312</v>
          </cell>
          <cell r="H136">
            <v>1.699965398738394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3.6943651507146749E-2</v>
          </cell>
          <cell r="G145">
            <v>9.9897740805113086E-2</v>
          </cell>
          <cell r="H145">
            <v>9.8014386177019172E-2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3.6943651507146749E-2</v>
          </cell>
          <cell r="G146">
            <v>9.9897740805113086E-2</v>
          </cell>
          <cell r="H146">
            <v>9.8014386177019172E-2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3.3103046557329298E-3</v>
          </cell>
          <cell r="G147">
            <v>5.4680085595514797E-3</v>
          </cell>
          <cell r="H147">
            <v>1.95455058226129E-4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3.3103046557329298E-3</v>
          </cell>
          <cell r="G148">
            <v>8.7783132152844095E-3</v>
          </cell>
          <cell r="H148">
            <v>8.9737682735105406E-3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0.11258923660105545</v>
          </cell>
          <cell r="F149">
            <v>0.12784581924871477</v>
          </cell>
          <cell r="G149">
            <v>0.11842126328064324</v>
          </cell>
          <cell r="H149">
            <v>0.13842302649489827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5.6294618300527715</v>
          </cell>
          <cell r="F150">
            <v>6.3922909624357347</v>
          </cell>
          <cell r="G150">
            <v>5.9210631640321649</v>
          </cell>
          <cell r="H150">
            <v>6.9211513247449021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9.6794575123593152</v>
          </cell>
          <cell r="F151">
            <v>10.991087717696651</v>
          </cell>
          <cell r="G151">
            <v>10.180845177470154</v>
          </cell>
          <cell r="H151">
            <v>11.900425334947096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4.2345694322355604E-3</v>
          </cell>
          <cell r="F152">
            <v>2.8718115930272198E-2</v>
          </cell>
          <cell r="G152">
            <v>1.7068234364491501E-5</v>
          </cell>
          <cell r="H152">
            <v>9.3584151915205499E-2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0.21279699567428934</v>
          </cell>
          <cell r="F153">
            <v>0.24150485329446542</v>
          </cell>
          <cell r="G153">
            <v>0.24147065447397506</v>
          </cell>
          <cell r="H153">
            <v>0.26147671468051759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3.2944605147353974</v>
          </cell>
          <cell r="G162">
            <v>9.9662483434325413</v>
          </cell>
          <cell r="H162">
            <v>17.9023480892942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3.2944605147353974</v>
          </cell>
          <cell r="G163">
            <v>9.9662483434325413</v>
          </cell>
          <cell r="H163">
            <v>17.9023480892942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3.2944605147354</v>
          </cell>
          <cell r="G164">
            <v>9.9662483434325306</v>
          </cell>
          <cell r="H164">
            <v>17.9023480892942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1.8671488626671899E-6</v>
          </cell>
          <cell r="G165">
            <v>2.0046051226343602</v>
          </cell>
          <cell r="H165">
            <v>2.0654664889237901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1.1231031287168727</v>
          </cell>
          <cell r="G166">
            <v>3.1798359897832205</v>
          </cell>
          <cell r="H166">
            <v>5.1607326569476903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5.6100715303282938</v>
          </cell>
          <cell r="F167">
            <v>6.0767494295611515</v>
          </cell>
          <cell r="G167">
            <v>5.9482898181497221</v>
          </cell>
          <cell r="H167">
            <v>7.6471325057742057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6.0988534961654368</v>
          </cell>
          <cell r="F168">
            <v>6.604454893473072</v>
          </cell>
          <cell r="G168">
            <v>6.4622922851122029</v>
          </cell>
          <cell r="H168">
            <v>8.3024822056838818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0.84970301217908395</v>
          </cell>
          <cell r="F169">
            <v>2.4656683704450402E-6</v>
          </cell>
          <cell r="G169">
            <v>2.90973852282062E-6</v>
          </cell>
          <cell r="H169">
            <v>3.0216633111235002E-6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0.84970301217908395</v>
          </cell>
          <cell r="F170">
            <v>0.84970547784745498</v>
          </cell>
          <cell r="G170">
            <v>0.849708387585978</v>
          </cell>
          <cell r="H170">
            <v>0.84971140924928901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1.2547825860229803E-2</v>
          </cell>
          <cell r="G171">
            <v>0.11292391193399223</v>
          </cell>
          <cell r="H171">
            <v>0.13778341644551323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1.2547825860229803E-2</v>
          </cell>
          <cell r="G172">
            <v>0.11292391193399223</v>
          </cell>
          <cell r="H172">
            <v>0.13778341644551323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1.0637287959281299E-3</v>
          </cell>
          <cell r="G173">
            <v>6.5811363093964802E-3</v>
          </cell>
          <cell r="H173">
            <v>1.76866380456793E-3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1.0637287959281299E-3</v>
          </cell>
          <cell r="G174">
            <v>7.64486510532461E-3</v>
          </cell>
          <cell r="H174">
            <v>9.4135289098925407E-3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4.5532609320825E-2</v>
          </cell>
          <cell r="G175">
            <v>5.5870487320605219E-2</v>
          </cell>
          <cell r="H175">
            <v>5.5858075030562969E-2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4.5532609320825E-2</v>
          </cell>
          <cell r="G176">
            <v>5.5870487320605219E-2</v>
          </cell>
          <cell r="H176">
            <v>5.5858075030562969E-2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3.9638924655893996E-3</v>
          </cell>
          <cell r="G177">
            <v>1.05504928058375E-3</v>
          </cell>
          <cell r="H177">
            <v>5.3498701353929403E-6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3.9638924655893996E-3</v>
          </cell>
          <cell r="G178">
            <v>5.01894174617315E-3</v>
          </cell>
          <cell r="H178">
            <v>5.02429161630854E-3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0.65994744305975483</v>
          </cell>
          <cell r="F179">
            <v>1.4023866118570587</v>
          </cell>
          <cell r="G179">
            <v>3.7144502899717744</v>
          </cell>
          <cell r="H179">
            <v>5.3812368622562738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0.17256107231247877</v>
          </cell>
          <cell r="F180">
            <v>0.40268154372963511</v>
          </cell>
          <cell r="G180">
            <v>1.2506960614241154</v>
          </cell>
          <cell r="H180">
            <v>2.5438574257938686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0.87271771145520349</v>
          </cell>
          <cell r="F181">
            <v>1.7856104341453656</v>
          </cell>
          <cell r="G181">
            <v>4.6818413972954458</v>
          </cell>
          <cell r="H181">
            <v>7.5215718293949587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1.3360940420271099E-2</v>
          </cell>
          <cell r="G182">
            <v>3.12815534922702E-2</v>
          </cell>
          <cell r="H182">
            <v>4.7887059106327602E-2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1.2870252393461221E-2</v>
          </cell>
          <cell r="F183">
            <v>1.5038137398861954E-2</v>
          </cell>
          <cell r="G183">
            <v>4.631644953856081E-2</v>
          </cell>
          <cell r="H183">
            <v>9.4195697419412902E-2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1.6666674525360543E-2</v>
          </cell>
          <cell r="G184">
            <v>1.7024400428958763E-2</v>
          </cell>
          <cell r="H184">
            <v>0.25334027691799155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1.6666674525360543E-2</v>
          </cell>
          <cell r="G185">
            <v>1.7024400428958763E-2</v>
          </cell>
          <cell r="H185">
            <v>0.25334027691799155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1.43448214027016E-3</v>
          </cell>
          <cell r="G186">
            <v>2.38865647993927E-2</v>
          </cell>
          <cell r="H186">
            <v>2.5223598481194899E-5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1.43448214027016E-3</v>
          </cell>
          <cell r="G187">
            <v>1.43448214027016E-3</v>
          </cell>
          <cell r="H187">
            <v>1.8076797069801601E-2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2.036135925556301E-3</v>
          </cell>
          <cell r="F188">
            <v>1.0323066755480194E-3</v>
          </cell>
          <cell r="G188">
            <v>2.1088550657546406E-3</v>
          </cell>
          <cell r="H188">
            <v>5.4674020219596319E-4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2.036135925556304E-3</v>
          </cell>
          <cell r="F189">
            <v>1.0331504511193502E-3</v>
          </cell>
          <cell r="G189">
            <v>2.1115483672434722E-3</v>
          </cell>
          <cell r="H189">
            <v>5.4674020219596243E-4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2.036135925556304E-3</v>
          </cell>
          <cell r="F190">
            <v>1.0331504511193502E-3</v>
          </cell>
          <cell r="G190">
            <v>2.1115483672434722E-3</v>
          </cell>
          <cell r="H190">
            <v>5.4674020219596243E-4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2.036135925556304E-3</v>
          </cell>
          <cell r="F191">
            <v>1.0331504511193502E-3</v>
          </cell>
          <cell r="G191">
            <v>2.1115483672434722E-3</v>
          </cell>
          <cell r="H191">
            <v>5.4674020219596243E-4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2.1470819634978398E-2</v>
          </cell>
          <cell r="F192">
            <v>6.9120123866257604E-4</v>
          </cell>
          <cell r="G192">
            <v>5.9691071279652599E-4</v>
          </cell>
          <cell r="H192">
            <v>3.9633980035813301E-4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2.1470819634978398E-2</v>
          </cell>
          <cell r="F193">
            <v>2.2076172203711476E-2</v>
          </cell>
          <cell r="G193">
            <v>2.2402768355733738E-2</v>
          </cell>
          <cell r="H193">
            <v>2.1959270729509001E-2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9.6002379843435418E-4</v>
          </cell>
          <cell r="G194">
            <v>1.3216409765481374</v>
          </cell>
          <cell r="H194">
            <v>1.477700125408963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9.6002379843435418E-4</v>
          </cell>
          <cell r="G195">
            <v>1.3216409765481374</v>
          </cell>
          <cell r="H195">
            <v>1.477700125408963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9.6002379843435396E-4</v>
          </cell>
          <cell r="G196">
            <v>1.3216409765481401</v>
          </cell>
          <cell r="H196">
            <v>1.4777001254089599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3.2727838953956198E-4</v>
          </cell>
          <cell r="G197">
            <v>0.42135967106072297</v>
          </cell>
          <cell r="H197">
            <v>4.29792537312647E-3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3.2727838953956198E-4</v>
          </cell>
          <cell r="G198">
            <v>0.42168694945026303</v>
          </cell>
          <cell r="H198">
            <v>0.42598487482338898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0.96593191713005089</v>
          </cell>
          <cell r="F199">
            <v>1.9314762520194165E-2</v>
          </cell>
          <cell r="G199">
            <v>7.9851462797953549E-2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1.8036467630566795</v>
          </cell>
          <cell r="F200">
            <v>3.7114377824545387E-2</v>
          </cell>
          <cell r="G200">
            <v>0.15994218272706601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226.173085210479</v>
          </cell>
          <cell r="F201">
            <v>4.7188143983917898</v>
          </cell>
          <cell r="G201">
            <v>19.625612238503098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4.0101610852921787</v>
          </cell>
          <cell r="F202">
            <v>8.3666921957301368E-2</v>
          </cell>
          <cell r="G202">
            <v>0.34797184820040949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3.16525421390184E-6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0.10832730174213549</v>
          </cell>
          <cell r="F204">
            <v>6.1850074897967927E-3</v>
          </cell>
          <cell r="G204">
            <v>6.1699499611585912E-3</v>
          </cell>
          <cell r="H204">
            <v>-9.4486187225961693E-6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12.841988463511951</v>
          </cell>
          <cell r="F205">
            <v>16.033274930583477</v>
          </cell>
          <cell r="G205">
            <v>2.4276904620225808</v>
          </cell>
          <cell r="H205">
            <v>44.631303437498097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12.841988463511951</v>
          </cell>
          <cell r="F206">
            <v>16.033274930583477</v>
          </cell>
          <cell r="G206">
            <v>2.4276904620225808</v>
          </cell>
          <cell r="H206">
            <v>44.631303437498097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16.052497217129396</v>
          </cell>
          <cell r="F207">
            <v>20.041595117943295</v>
          </cell>
          <cell r="G207">
            <v>3.0346186015414971</v>
          </cell>
          <cell r="H207">
            <v>55.789111303617801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16.052497217129396</v>
          </cell>
          <cell r="F208">
            <v>20.041595117943295</v>
          </cell>
          <cell r="G208">
            <v>3.0346186015414971</v>
          </cell>
          <cell r="H208">
            <v>55.789111303617801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3.9053728840280529E-3</v>
          </cell>
          <cell r="F210">
            <v>5.3834140665880706E-3</v>
          </cell>
          <cell r="G210">
            <v>2.1928550147977299E-2</v>
          </cell>
          <cell r="H210">
            <v>2.0736996739536698E-3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3.9053728840280633E-3</v>
          </cell>
          <cell r="F211">
            <v>5.379827514911467E-3</v>
          </cell>
          <cell r="G211">
            <v>2.1905731677479948E-2</v>
          </cell>
          <cell r="H211">
            <v>2.0736996739536698E-3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2.9727211287275276E-3</v>
          </cell>
          <cell r="F212">
            <v>7.1179890499633624E-3</v>
          </cell>
          <cell r="G212">
            <v>2.8347273167954552E-2</v>
          </cell>
          <cell r="H212">
            <v>1.6225882732687127E-3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2.9727211287275276E-3</v>
          </cell>
          <cell r="F213">
            <v>7.1179890499633624E-3</v>
          </cell>
          <cell r="G213">
            <v>2.8347273167954552E-2</v>
          </cell>
          <cell r="H213">
            <v>1.6225882732687127E-3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3.4795973879293299E-2</v>
          </cell>
          <cell r="F214">
            <v>1.0821692559269301E-3</v>
          </cell>
          <cell r="G214">
            <v>6.25163976073285E-4</v>
          </cell>
          <cell r="H214">
            <v>3.03215122985527E-4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3.4795973879293299E-2</v>
          </cell>
          <cell r="F215">
            <v>3.5814550738494037E-2</v>
          </cell>
          <cell r="G215">
            <v>3.6204372888291557E-2</v>
          </cell>
          <cell r="H215">
            <v>3.495638871607349E-2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/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/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4.1595563730502502E-4</v>
          </cell>
          <cell r="F222">
            <v>1.0698296985019493E-2</v>
          </cell>
          <cell r="G222">
            <v>0.18037831527724857</v>
          </cell>
          <cell r="H222">
            <v>3.488777731323571E-2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4.1595563730502437E-4</v>
          </cell>
          <cell r="F223">
            <v>1.0689559669325523E-2</v>
          </cell>
          <cell r="G223">
            <v>0.18014824089551737</v>
          </cell>
          <cell r="H223">
            <v>3.4887777313235772E-2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7.2300448383476725E-4</v>
          </cell>
          <cell r="F224">
            <v>1.3067329589600845E-2</v>
          </cell>
          <cell r="G224">
            <v>0.21484082911806773</v>
          </cell>
          <cell r="H224">
            <v>4.0205632966013233E-2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7.2300448383476725E-4</v>
          </cell>
          <cell r="F225">
            <v>1.3067329589600845E-2</v>
          </cell>
          <cell r="G225">
            <v>0.21484082911806773</v>
          </cell>
          <cell r="H225">
            <v>4.0205632966013233E-2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4.8000486927799797E-2</v>
          </cell>
          <cell r="F226">
            <v>5.9211095643207099E-4</v>
          </cell>
          <cell r="G226">
            <v>7.2142140134475103E-4</v>
          </cell>
          <cell r="H226">
            <v>4.3570058924275303E-4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4.8003417643937105E-2</v>
          </cell>
          <cell r="F227">
            <v>4.8453480635800954E-2</v>
          </cell>
          <cell r="G227">
            <v>4.8907665049442689E-2</v>
          </cell>
          <cell r="H227">
            <v>4.8599226449228983E-2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44.153714761044498</v>
          </cell>
          <cell r="F228">
            <v>61.537609016576504</v>
          </cell>
          <cell r="G228">
            <v>18.111183183440499</v>
          </cell>
          <cell r="H228">
            <v>3.5747100357366399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0.58909492900947691</v>
          </cell>
          <cell r="F229">
            <v>0.82102929756244891</v>
          </cell>
          <cell r="G229">
            <v>0.24163779264026067</v>
          </cell>
          <cell r="H229">
            <v>4.7693462851956123E-2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0.5991006073411731</v>
          </cell>
          <cell r="F230">
            <v>0.8349743421516489</v>
          </cell>
          <cell r="G230">
            <v>0.24574196992456529</v>
          </cell>
          <cell r="H230">
            <v>4.8503528300361504E-2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66.745681606063101</v>
          </cell>
          <cell r="F231">
            <v>49.273085268661468</v>
          </cell>
          <cell r="G231">
            <v>68.195064207808556</v>
          </cell>
          <cell r="H231">
            <v>70.15425552925457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66.745681606063101</v>
          </cell>
          <cell r="F232">
            <v>49.273085268661468</v>
          </cell>
          <cell r="G232">
            <v>68.195064207808556</v>
          </cell>
          <cell r="H232">
            <v>70.15425552925457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3.9052744542684751E-3</v>
          </cell>
          <cell r="F234">
            <v>2.1303748724913166E-3</v>
          </cell>
          <cell r="G234">
            <v>1.1656152769324469E-3</v>
          </cell>
          <cell r="H234">
            <v>2.0736709930895942E-3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3.9052744542684668E-3</v>
          </cell>
          <cell r="F235">
            <v>2.131795122406307E-3</v>
          </cell>
          <cell r="G235">
            <v>1.1668294595125843E-3</v>
          </cell>
          <cell r="H235">
            <v>2.0736709930895942E-3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2.9725898890308948E-3</v>
          </cell>
          <cell r="F236">
            <v>1.5682750174439623E-3</v>
          </cell>
          <cell r="G236">
            <v>9.2529576943191263E-4</v>
          </cell>
          <cell r="H236">
            <v>1.6225512246446276E-3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2.9725898890308948E-3</v>
          </cell>
          <cell r="F237">
            <v>1.5682750174439623E-3</v>
          </cell>
          <cell r="G237">
            <v>9.2529576943191263E-4</v>
          </cell>
          <cell r="H237">
            <v>1.6225512246446276E-3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2.4389136446351999E-2</v>
          </cell>
          <cell r="F238">
            <v>6.0624792254750299E-4</v>
          </cell>
          <cell r="G238">
            <v>6.0537965095237801E-4</v>
          </cell>
          <cell r="H238">
            <v>3.9371297070117298E-4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2.4389136446351999E-2</v>
          </cell>
          <cell r="F239">
            <v>2.4914079589585178E-2</v>
          </cell>
          <cell r="G239">
            <v>2.5257883697051155E-2</v>
          </cell>
          <cell r="H239">
            <v>2.5057044053762301E-2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0.34130473341300771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0.34130473341300771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0.34130473341300799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4.0881154114224397E-5</v>
          </cell>
          <cell r="H243">
            <v>0.196515539351971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5.2754227969384899E-2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7.6873314525937694E-2</v>
          </cell>
          <cell r="F245">
            <v>3.6932554169476897E-2</v>
          </cell>
          <cell r="G245">
            <v>4.2002999552408209E-2</v>
          </cell>
          <cell r="H245">
            <v>2.1228708460275789E-2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55.998559975576455</v>
          </cell>
          <cell r="F246">
            <v>56.566981935709201</v>
          </cell>
          <cell r="G246">
            <v>53.602867861469321</v>
          </cell>
          <cell r="H246">
            <v>53.317327173635171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6.8874049689484448E-2</v>
          </cell>
          <cell r="F247">
            <v>2.4505776132958318E-2</v>
          </cell>
          <cell r="G247">
            <v>3.0212718511762885E-2</v>
          </cell>
          <cell r="H247">
            <v>1.8268198869091892E-2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25.899641467826068</v>
          </cell>
          <cell r="F248">
            <v>56.546035131294865</v>
          </cell>
          <cell r="G248">
            <v>53.584854389274447</v>
          </cell>
          <cell r="H248">
            <v>24.445740956437682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30.24448698759214</v>
          </cell>
          <cell r="F249">
            <v>8.2212750339880528E-2</v>
          </cell>
          <cell r="G249">
            <v>9.0001998022665508E-2</v>
          </cell>
          <cell r="H249">
            <v>28.910848733521593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4.8869125505181899E-5</v>
          </cell>
          <cell r="F250">
            <v>8.4979828002749102E-5</v>
          </cell>
          <cell r="G250">
            <v>2.8898308319408599E-5</v>
          </cell>
          <cell r="H250">
            <v>7.1136688041972495E-5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4.492753252331136</v>
          </cell>
          <cell r="G251">
            <v>4.4928712121157179</v>
          </cell>
          <cell r="H251">
            <v>4.4929392490715694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/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/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1.03931012522124E-5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1.03931012522124E-5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1.7978556816269057E-4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1.7978556816269057E-4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1.7978556816269001E-4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5.1833855917472101E-5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5.1833855917472101E-5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6.507014407313485</v>
          </cell>
          <cell r="F261">
            <v>7.3098093015021393</v>
          </cell>
          <cell r="G261">
            <v>8.3571361255006948</v>
          </cell>
          <cell r="H261">
            <v>7.7711274439721532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1689.2969367266601</v>
          </cell>
          <cell r="F262">
            <v>1897.7118672435599</v>
          </cell>
          <cell r="G262">
            <v>2169.6101426713599</v>
          </cell>
          <cell r="H262">
            <v>2017.4754448460801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18.203630783692468</v>
          </cell>
          <cell r="F263">
            <v>20.449481328055573</v>
          </cell>
          <cell r="G263">
            <v>23.37941964085519</v>
          </cell>
          <cell r="H263">
            <v>21.740037121186226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6.2944844115577101E-6</v>
          </cell>
          <cell r="G264">
            <v>3.3303223640693103E-2</v>
          </cell>
          <cell r="H264">
            <v>4.7093043683537297E-2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0.27864794579481322</v>
          </cell>
          <cell r="F265">
            <v>0.27853140953903349</v>
          </cell>
          <cell r="G265">
            <v>0.3117939057380455</v>
          </cell>
          <cell r="H265">
            <v>0.28992250172190026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0.43687091603376721</v>
          </cell>
          <cell r="F266">
            <v>0.55213811081003705</v>
          </cell>
          <cell r="G266">
            <v>1.6042881164276321</v>
          </cell>
          <cell r="H266">
            <v>3.1475976994673842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0.43687091603376721</v>
          </cell>
          <cell r="F267">
            <v>0.55213811081003705</v>
          </cell>
          <cell r="G267">
            <v>1.6042881164276321</v>
          </cell>
          <cell r="H267">
            <v>3.1475976994673842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3.5170121683551265</v>
          </cell>
          <cell r="F268">
            <v>3.1940388727420679</v>
          </cell>
          <cell r="G268">
            <v>2.7543344325409973</v>
          </cell>
          <cell r="H268">
            <v>2.6599118677478026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3.5170121683551265</v>
          </cell>
          <cell r="F269">
            <v>3.1940388727420679</v>
          </cell>
          <cell r="G269">
            <v>2.7543344325409973</v>
          </cell>
          <cell r="H269">
            <v>2.6599118677478026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2.4517557807960362</v>
          </cell>
          <cell r="F270">
            <v>2.2126698813532819</v>
          </cell>
          <cell r="G270">
            <v>1.8971086139180009</v>
          </cell>
          <cell r="H270">
            <v>1.71362856189693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3.5025082582800544</v>
          </cell>
          <cell r="F271">
            <v>3.1609569733618343</v>
          </cell>
          <cell r="G271">
            <v>2.7101551627400027</v>
          </cell>
          <cell r="H271">
            <v>2.4480408027098997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0.31188034914670398</v>
          </cell>
          <cell r="F272">
            <v>3.24113428251256E-5</v>
          </cell>
          <cell r="G272">
            <v>3.2758381207538403E-5</v>
          </cell>
          <cell r="H272">
            <v>5.4685075001337398E-5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0.31188034914670398</v>
          </cell>
          <cell r="F273">
            <v>0.31191276048952898</v>
          </cell>
          <cell r="G273">
            <v>0.31194551887073702</v>
          </cell>
          <cell r="H273">
            <v>0.31200020394573802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1537.95890866073</v>
          </cell>
          <cell r="F280">
            <v>1510.5078021797899</v>
          </cell>
          <cell r="G280">
            <v>1402.0948018409699</v>
          </cell>
          <cell r="H280">
            <v>1097.7432635274099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27.481314450275502</v>
          </cell>
          <cell r="F281">
            <v>28.488462048411687</v>
          </cell>
          <cell r="G281">
            <v>25.513533100884118</v>
          </cell>
          <cell r="H281">
            <v>20.120063683144217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3.5615311531140288E-2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27.26877497625409</v>
          </cell>
          <cell r="F283">
            <v>26.782053230138036</v>
          </cell>
          <cell r="G283">
            <v>24.85983691207387</v>
          </cell>
          <cell r="H283">
            <v>19.46353304126616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0.30033181946995979</v>
          </cell>
          <cell r="F284">
            <v>1.7974186171672832</v>
          </cell>
          <cell r="G284">
            <v>0.73520222141499658</v>
          </cell>
          <cell r="H284">
            <v>0.72140289686061543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3.5588837948649373E-2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2.2482027123936501E-4</v>
          </cell>
          <cell r="F286">
            <v>4.6381222786838498E-6</v>
          </cell>
          <cell r="G286">
            <v>7.6925504290318894E-6</v>
          </cell>
          <cell r="H286">
            <v>1.06650827800905E-5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2.2352770218963793</v>
          </cell>
          <cell r="F287">
            <v>2.235281660018658</v>
          </cell>
          <cell r="G287">
            <v>2.2352893525690871</v>
          </cell>
          <cell r="H287">
            <v>2.2353000176518671</v>
          </cell>
        </row>
        <row r="288">
          <cell r="B288" t="str">
            <v>RHES-CHPWOD</v>
          </cell>
          <cell r="C288" t="str">
            <v>VAR_ncap</v>
          </cell>
          <cell r="D288" t="str">
            <v>-</v>
          </cell>
          <cell r="E288"/>
          <cell r="F288"/>
          <cell r="G288"/>
          <cell r="H288">
            <v>5.54558305762179E-5</v>
          </cell>
        </row>
        <row r="289">
          <cell r="B289" t="str">
            <v>RHES-CHPWOD</v>
          </cell>
          <cell r="C289" t="str">
            <v>VAR_cap</v>
          </cell>
          <cell r="D289" t="str">
            <v>-</v>
          </cell>
          <cell r="E289"/>
          <cell r="F289"/>
          <cell r="G289"/>
          <cell r="H289">
            <v>5.54558305762179E-5</v>
          </cell>
        </row>
        <row r="290">
          <cell r="B290" t="str">
            <v>G-INTC-RES</v>
          </cell>
          <cell r="C290" t="str">
            <v>VAR_fout</v>
          </cell>
          <cell r="D290" t="str">
            <v>RHNS_ELC</v>
          </cell>
          <cell r="E290">
            <v>12.052389129778559</v>
          </cell>
          <cell r="F290">
            <v>14.631568261966759</v>
          </cell>
          <cell r="G290">
            <v>14.64358345993208</v>
          </cell>
          <cell r="H290">
            <v>11.207905954708243</v>
          </cell>
        </row>
        <row r="291">
          <cell r="B291" t="str">
            <v>G-INTC-RES</v>
          </cell>
          <cell r="C291" t="str">
            <v>VAR_fout</v>
          </cell>
          <cell r="D291" t="str">
            <v>ELC35</v>
          </cell>
          <cell r="E291">
            <v>7.3755911754005796E-2</v>
          </cell>
          <cell r="F291">
            <v>2.3714360915231741E-2</v>
          </cell>
          <cell r="G291">
            <v>2.7195926963509788E-2</v>
          </cell>
          <cell r="H291">
            <v>1.7364805769466602E-2</v>
          </cell>
        </row>
        <row r="292">
          <cell r="B292" t="str">
            <v>G-INTC-RES</v>
          </cell>
          <cell r="C292" t="str">
            <v>VAR_fout</v>
          </cell>
          <cell r="D292" t="str">
            <v>RHES_ELC</v>
          </cell>
          <cell r="E292">
            <v>21.065778023308404</v>
          </cell>
          <cell r="F292">
            <v>17.832146115051213</v>
          </cell>
          <cell r="G292">
            <v>17.606830258713355</v>
          </cell>
          <cell r="H292">
            <v>15.703468653764704</v>
          </cell>
        </row>
        <row r="293">
          <cell r="B293" t="str">
            <v>G-INTC-RES</v>
          </cell>
          <cell r="C293" t="str">
            <v>VAR_fout</v>
          </cell>
          <cell r="D293" t="str">
            <v>RHNM_ELC</v>
          </cell>
          <cell r="E293">
            <v>11.294539401647182</v>
          </cell>
          <cell r="F293">
            <v>14.65516278579069</v>
          </cell>
          <cell r="G293">
            <v>14.31838068419532</v>
          </cell>
          <cell r="H293">
            <v>12.273183354708921</v>
          </cell>
        </row>
        <row r="294">
          <cell r="B294" t="str">
            <v>G-INTC-RES</v>
          </cell>
          <cell r="C294" t="str">
            <v>VAR_fout</v>
          </cell>
          <cell r="D294" t="str">
            <v>RHEM_ELC</v>
          </cell>
          <cell r="E294">
            <v>22.200116590612769</v>
          </cell>
          <cell r="F294">
            <v>18.275830761425805</v>
          </cell>
          <cell r="G294">
            <v>15.821319117380055</v>
          </cell>
          <cell r="H294">
            <v>14.463096000002631</v>
          </cell>
        </row>
        <row r="295">
          <cell r="B295" t="str">
            <v>G-INTC-RES</v>
          </cell>
          <cell r="C295" t="str">
            <v>VAR_fin</v>
          </cell>
          <cell r="D295" t="str">
            <v>ELC5</v>
          </cell>
          <cell r="E295">
            <v>66.685761812195778</v>
          </cell>
          <cell r="F295">
            <v>65.418422285149688</v>
          </cell>
          <cell r="G295">
            <v>62.417309447184294</v>
          </cell>
          <cell r="H295">
            <v>53.664574321303903</v>
          </cell>
        </row>
        <row r="296">
          <cell r="B296" t="str">
            <v>G-INTC-RES</v>
          </cell>
          <cell r="C296" t="str">
            <v>VAR_ncap</v>
          </cell>
          <cell r="D296" t="str">
            <v>-</v>
          </cell>
          <cell r="E296">
            <v>2.1652859938815599E-6</v>
          </cell>
          <cell r="F296">
            <v>2.27026822670973E-6</v>
          </cell>
          <cell r="G296">
            <v>2.60337773771722E-6</v>
          </cell>
          <cell r="H296">
            <v>6.6203603206118198E-6</v>
          </cell>
        </row>
        <row r="297">
          <cell r="B297" t="str">
            <v>G-INTC-RES</v>
          </cell>
          <cell r="C297" t="str">
            <v>VAR_cap</v>
          </cell>
          <cell r="D297" t="str">
            <v>-</v>
          </cell>
          <cell r="E297">
            <v>4.3300925142827298</v>
          </cell>
          <cell r="F297">
            <v>4.3300932182976792</v>
          </cell>
          <cell r="G297">
            <v>4.3300969498369506</v>
          </cell>
          <cell r="H297">
            <v>4.3301031956663714</v>
          </cell>
        </row>
        <row r="298">
          <cell r="B298" t="str">
            <v>SCOM-CHPNGA</v>
          </cell>
          <cell r="C298" t="str">
            <v>VAR_fout</v>
          </cell>
          <cell r="D298" t="str">
            <v>CO2_S</v>
          </cell>
          <cell r="E298">
            <v>108.99525853243</v>
          </cell>
          <cell r="F298">
            <v>98.260247082389498</v>
          </cell>
          <cell r="G298">
            <v>87.055432645654093</v>
          </cell>
          <cell r="H298"/>
        </row>
        <row r="299">
          <cell r="B299" t="str">
            <v>SCOM-CHPNGA</v>
          </cell>
          <cell r="C299" t="str">
            <v>VAR_fout</v>
          </cell>
          <cell r="D299" t="str">
            <v>SCOM_NKEV_GAS_ELC_CHP</v>
          </cell>
          <cell r="E299">
            <v>0.59464229570300875</v>
          </cell>
          <cell r="F299">
            <v>0.62664260984377185</v>
          </cell>
          <cell r="G299">
            <v>0.53747126247534416</v>
          </cell>
          <cell r="H299"/>
        </row>
        <row r="300">
          <cell r="B300" t="str">
            <v>SCOM-CHPNGA</v>
          </cell>
          <cell r="C300" t="str">
            <v>VAR_fout</v>
          </cell>
          <cell r="D300" t="str">
            <v>SCOM_LTH_CHPNGA</v>
          </cell>
          <cell r="E300">
            <v>0.69286105154594424</v>
          </cell>
          <cell r="F300">
            <v>0.75112864504069488</v>
          </cell>
          <cell r="G300">
            <v>0.67123691079052017</v>
          </cell>
          <cell r="H300"/>
        </row>
        <row r="301">
          <cell r="B301" t="str">
            <v>SCOM-CHPNGA</v>
          </cell>
          <cell r="C301" t="str">
            <v>VAR_fin</v>
          </cell>
          <cell r="D301" t="str">
            <v>SNGA</v>
          </cell>
          <cell r="E301">
            <v>1.9325400449012506</v>
          </cell>
          <cell r="F301">
            <v>1.7422029624537152</v>
          </cell>
          <cell r="G301">
            <v>1.5435360398165627</v>
          </cell>
          <cell r="H301"/>
        </row>
        <row r="302">
          <cell r="B302" t="str">
            <v>SCOM-CHPNGA</v>
          </cell>
          <cell r="C302" t="str">
            <v>VAR_ncap</v>
          </cell>
          <cell r="D302" t="str">
            <v>-</v>
          </cell>
          <cell r="E302"/>
          <cell r="F302">
            <v>2.7374575293055599E-2</v>
          </cell>
          <cell r="G302"/>
          <cell r="H302"/>
        </row>
        <row r="303">
          <cell r="B303" t="str">
            <v>SCOM-CHPNGA</v>
          </cell>
          <cell r="C303" t="str">
            <v>VAR_cap</v>
          </cell>
          <cell r="D303" t="str">
            <v>-</v>
          </cell>
          <cell r="E303">
            <v>6.5195402228535926E-2</v>
          </cell>
          <cell r="F303">
            <v>4.8067676275953139E-2</v>
          </cell>
          <cell r="G303">
            <v>3.3877160342709309E-2</v>
          </cell>
          <cell r="H303">
            <v>4.2992398153878994E-3</v>
          </cell>
        </row>
        <row r="304">
          <cell r="B304" t="str">
            <v>D-IPLT</v>
          </cell>
          <cell r="C304" t="str">
            <v>VAR_fout</v>
          </cell>
          <cell r="D304" t="str">
            <v>IPLT</v>
          </cell>
          <cell r="E304">
            <v>0.62589701661237407</v>
          </cell>
          <cell r="F304">
            <v>0.73762225764574341</v>
          </cell>
          <cell r="G304">
            <v>0.77787246306873914</v>
          </cell>
          <cell r="H304">
            <v>0.80006448650634476</v>
          </cell>
        </row>
        <row r="305">
          <cell r="B305" t="str">
            <v>D-IPLT</v>
          </cell>
          <cell r="C305" t="str">
            <v>VAR_fin</v>
          </cell>
          <cell r="D305" t="str">
            <v>PLT</v>
          </cell>
          <cell r="E305">
            <v>0.62589701661237407</v>
          </cell>
          <cell r="F305">
            <v>0.73762225764574341</v>
          </cell>
          <cell r="G305">
            <v>0.77787246306873914</v>
          </cell>
          <cell r="H305">
            <v>0.80006448650634476</v>
          </cell>
        </row>
        <row r="306">
          <cell r="B306" t="str">
            <v>LTH-STG</v>
          </cell>
          <cell r="C306" t="str">
            <v>VAR_fout</v>
          </cell>
          <cell r="D306" t="str">
            <v>AUX_LTH-STG_OUT</v>
          </cell>
          <cell r="E306">
            <v>2.3830718402821437E-4</v>
          </cell>
          <cell r="F306">
            <v>1.1917525492749265E-2</v>
          </cell>
          <cell r="G306">
            <v>8.1968048340712779E-2</v>
          </cell>
          <cell r="H306">
            <v>2.3177125249635749E-2</v>
          </cell>
        </row>
        <row r="307">
          <cell r="B307" t="str">
            <v>LTH-STG</v>
          </cell>
          <cell r="C307" t="str">
            <v>VAR_fout</v>
          </cell>
          <cell r="D307" t="str">
            <v>LTH</v>
          </cell>
          <cell r="E307">
            <v>2.3830718402821378E-4</v>
          </cell>
          <cell r="F307">
            <v>1.1925470509744416E-2</v>
          </cell>
          <cell r="G307">
            <v>8.2053431724400924E-2</v>
          </cell>
          <cell r="H307">
            <v>2.3177125249635749E-2</v>
          </cell>
        </row>
        <row r="308">
          <cell r="B308" t="str">
            <v>LTH-STG</v>
          </cell>
          <cell r="C308" t="str">
            <v>VAR_fin</v>
          </cell>
          <cell r="D308" t="str">
            <v>AUX_LTH-STG_IN</v>
          </cell>
          <cell r="E308">
            <v>3.5265607920999747E-4</v>
          </cell>
          <cell r="F308">
            <v>1.5695409032595916E-2</v>
          </cell>
          <cell r="G308">
            <v>0.10582882327974465</v>
          </cell>
          <cell r="H308">
            <v>2.8988891257328103E-2</v>
          </cell>
        </row>
        <row r="309">
          <cell r="B309" t="str">
            <v>LTH-STG</v>
          </cell>
          <cell r="C309" t="str">
            <v>VAR_fin</v>
          </cell>
          <cell r="D309" t="str">
            <v>LTH</v>
          </cell>
          <cell r="E309">
            <v>3.5265607920999747E-4</v>
          </cell>
          <cell r="F309">
            <v>1.5695409032595916E-2</v>
          </cell>
          <cell r="G309">
            <v>0.10582882327974465</v>
          </cell>
          <cell r="H309">
            <v>2.8988891257328103E-2</v>
          </cell>
        </row>
        <row r="310">
          <cell r="B310" t="str">
            <v>LTH-STG</v>
          </cell>
          <cell r="C310" t="str">
            <v>VAR_ncap</v>
          </cell>
          <cell r="D310" t="str">
            <v>-</v>
          </cell>
          <cell r="E310">
            <v>5.2318430783892004E-3</v>
          </cell>
          <cell r="F310">
            <v>9.1020212794054695E-5</v>
          </cell>
          <cell r="G310">
            <v>5.5659159761118502E-5</v>
          </cell>
          <cell r="H310">
            <v>3.2423550911561898E-5</v>
          </cell>
        </row>
        <row r="311">
          <cell r="B311" t="str">
            <v>LTH-STG</v>
          </cell>
          <cell r="C311" t="str">
            <v>VAR_cap</v>
          </cell>
          <cell r="D311" t="str">
            <v>-</v>
          </cell>
          <cell r="E311">
            <v>5.3893737521377204E-3</v>
          </cell>
          <cell r="F311">
            <v>5.4609808308655724E-3</v>
          </cell>
          <cell r="G311">
            <v>5.4822867210919234E-3</v>
          </cell>
          <cell r="H311">
            <v>4.8459347654554574E-3</v>
          </cell>
        </row>
        <row r="312">
          <cell r="B312" t="str">
            <v>ITOT-CHPOIL</v>
          </cell>
          <cell r="C312" t="str">
            <v>VAR_fout</v>
          </cell>
          <cell r="D312" t="str">
            <v>ITOT_LTH_CHP</v>
          </cell>
          <cell r="E312">
            <v>0.9300285020017458</v>
          </cell>
          <cell r="F312">
            <v>2.0129949751913112</v>
          </cell>
          <cell r="G312">
            <v>1.3104198277838217</v>
          </cell>
          <cell r="H312">
            <v>1.2420320861859517</v>
          </cell>
        </row>
        <row r="313">
          <cell r="B313" t="str">
            <v>ITOT-CHPOIL</v>
          </cell>
          <cell r="C313" t="str">
            <v>VAR_fout</v>
          </cell>
          <cell r="D313" t="str">
            <v>ITOT_NKEV_OIL_ELC_CHP</v>
          </cell>
          <cell r="E313">
            <v>7.0553886358753079E-2</v>
          </cell>
          <cell r="F313">
            <v>0.16656546239737904</v>
          </cell>
          <cell r="G313">
            <v>0.12551260495420383</v>
          </cell>
          <cell r="H313">
            <v>0.16131818156861827</v>
          </cell>
        </row>
        <row r="314">
          <cell r="B314" t="str">
            <v>ITOT-CHPOIL</v>
          </cell>
          <cell r="C314" t="str">
            <v>VAR_fout</v>
          </cell>
          <cell r="D314" t="str">
            <v>CO2_I</v>
          </cell>
          <cell r="E314">
            <v>29.418645080039699</v>
          </cell>
          <cell r="F314">
            <v>50.022835126882399</v>
          </cell>
          <cell r="G314">
            <v>37.906287041091304</v>
          </cell>
          <cell r="H314">
            <v>45.336099318277398</v>
          </cell>
        </row>
        <row r="315">
          <cell r="B315" t="str">
            <v>ITOT-CHPOIL</v>
          </cell>
          <cell r="C315" t="str">
            <v>VAR_fin</v>
          </cell>
          <cell r="D315" t="str">
            <v>ILFO</v>
          </cell>
          <cell r="E315">
            <v>0.39916750447814997</v>
          </cell>
          <cell r="F315">
            <v>0.67873589045973448</v>
          </cell>
          <cell r="G315">
            <v>0.51433225293203977</v>
          </cell>
          <cell r="H315">
            <v>0.61514381707296373</v>
          </cell>
        </row>
        <row r="316">
          <cell r="B316" t="str">
            <v>ITOT-CHPOIL</v>
          </cell>
          <cell r="C316" t="str">
            <v>VAR_ncap</v>
          </cell>
          <cell r="D316" t="str">
            <v>-</v>
          </cell>
          <cell r="E316"/>
          <cell r="F316">
            <v>2.3246857721985099E-2</v>
          </cell>
          <cell r="G316"/>
          <cell r="H316"/>
        </row>
        <row r="317">
          <cell r="B317" t="str">
            <v>ITOT-CHPOIL</v>
          </cell>
          <cell r="C317" t="str">
            <v>VAR_cap</v>
          </cell>
          <cell r="D317" t="str">
            <v>-</v>
          </cell>
          <cell r="E317">
            <v>8.2975477927690958E-3</v>
          </cell>
          <cell r="F317">
            <v>2.416230990243735E-2</v>
          </cell>
          <cell r="G317">
            <v>2.4136818839332119E-2</v>
          </cell>
          <cell r="H317">
            <v>2.4120541974585231E-2</v>
          </cell>
        </row>
        <row r="318">
          <cell r="B318" t="str">
            <v>ENUC_GOE</v>
          </cell>
          <cell r="C318" t="str">
            <v>VAR_fout</v>
          </cell>
          <cell r="D318" t="str">
            <v>ELC</v>
          </cell>
          <cell r="E318">
            <v>29.714420988585818</v>
          </cell>
          <cell r="F318">
            <v>29.714130131201237</v>
          </cell>
          <cell r="G318">
            <v>29.714095430112014</v>
          </cell>
          <cell r="H318">
            <v>29.689213115416308</v>
          </cell>
        </row>
        <row r="319">
          <cell r="B319" t="str">
            <v>ENUC_GOE</v>
          </cell>
          <cell r="C319" t="str">
            <v>VAR_fin</v>
          </cell>
          <cell r="D319" t="str">
            <v>URN</v>
          </cell>
          <cell r="E319">
            <v>89.580638628414221</v>
          </cell>
          <cell r="F319">
            <v>89.579761775041561</v>
          </cell>
          <cell r="G319">
            <v>89.579657160997826</v>
          </cell>
          <cell r="H319">
            <v>89.504643966500382</v>
          </cell>
        </row>
        <row r="320">
          <cell r="B320" t="str">
            <v>ENUC_GOE</v>
          </cell>
          <cell r="C320" t="str">
            <v>VAR_cap</v>
          </cell>
          <cell r="D320" t="str">
            <v>-</v>
          </cell>
          <cell r="E320">
            <v>1.0099996884232529</v>
          </cell>
          <cell r="F320">
            <v>1.0099988042215964</v>
          </cell>
          <cell r="G320">
            <v>1.0100002942683848</v>
          </cell>
          <cell r="H320">
            <v>1.0100006141621678</v>
          </cell>
        </row>
        <row r="321">
          <cell r="B321" t="str">
            <v>D-RNGA</v>
          </cell>
          <cell r="C321" t="str">
            <v>VAR_fout</v>
          </cell>
          <cell r="D321" t="str">
            <v>CO2</v>
          </cell>
          <cell r="E321">
            <v>2686.29232035222</v>
          </cell>
          <cell r="F321">
            <v>2605.0618149319198</v>
          </cell>
          <cell r="G321">
            <v>2636.0764012387099</v>
          </cell>
          <cell r="H321">
            <v>2157.9838635814299</v>
          </cell>
        </row>
        <row r="322">
          <cell r="B322" t="str">
            <v>D-RNGA</v>
          </cell>
          <cell r="C322" t="str">
            <v>VAR_fout</v>
          </cell>
          <cell r="D322" t="str">
            <v>RNGA</v>
          </cell>
          <cell r="E322">
            <v>47.78066398916684</v>
          </cell>
          <cell r="F322">
            <v>48.283682865512411</v>
          </cell>
          <cell r="G322">
            <v>47.460370951729558</v>
          </cell>
          <cell r="H322">
            <v>39.099934607424856</v>
          </cell>
        </row>
        <row r="323">
          <cell r="B323" t="str">
            <v>D-RNGA</v>
          </cell>
          <cell r="C323" t="str">
            <v>VAR_fout</v>
          </cell>
          <cell r="D323" t="str">
            <v>RSH2</v>
          </cell>
          <cell r="E323"/>
          <cell r="F323"/>
          <cell r="G323"/>
          <cell r="H323">
            <v>4.2346506482894543E-2</v>
          </cell>
        </row>
        <row r="324">
          <cell r="B324" t="str">
            <v>D-RNGA</v>
          </cell>
          <cell r="C324" t="str">
            <v>VAR_fin</v>
          </cell>
          <cell r="D324" t="str">
            <v>NGA</v>
          </cell>
          <cell r="E324">
            <v>47.629296460145738</v>
          </cell>
          <cell r="F324">
            <v>46.18903927184266</v>
          </cell>
          <cell r="G324">
            <v>46.738943284374216</v>
          </cell>
          <cell r="H324">
            <v>38.262125240805588</v>
          </cell>
        </row>
        <row r="325">
          <cell r="B325" t="str">
            <v>D-RNGA</v>
          </cell>
          <cell r="C325" t="str">
            <v>VAR_fin</v>
          </cell>
          <cell r="D325" t="str">
            <v>BNGA</v>
          </cell>
          <cell r="E325">
            <v>0.30400857413150201</v>
          </cell>
          <cell r="F325">
            <v>2.2488915927357054</v>
          </cell>
          <cell r="G325">
            <v>0.87304549805444343</v>
          </cell>
          <cell r="H325">
            <v>0.96348454954207119</v>
          </cell>
        </row>
        <row r="326">
          <cell r="B326" t="str">
            <v>D-RNGA</v>
          </cell>
          <cell r="C326" t="str">
            <v>VAR_fin</v>
          </cell>
          <cell r="D326" t="str">
            <v>H2</v>
          </cell>
          <cell r="E326"/>
          <cell r="F326"/>
          <cell r="G326"/>
          <cell r="H326">
            <v>4.232757097861288E-2</v>
          </cell>
        </row>
        <row r="327">
          <cell r="B327" t="str">
            <v>D-RNGA</v>
          </cell>
          <cell r="C327" t="str">
            <v>VAR_ncap</v>
          </cell>
          <cell r="D327" t="str">
            <v>-</v>
          </cell>
          <cell r="E327">
            <v>1.4108689698768901E-5</v>
          </cell>
          <cell r="F327">
            <v>2.00863194670824E-6</v>
          </cell>
          <cell r="G327">
            <v>2.4428176174718799E-6</v>
          </cell>
          <cell r="H327">
            <v>2.0258802884127202E-6</v>
          </cell>
        </row>
        <row r="328">
          <cell r="B328" t="str">
            <v>D-RNGA</v>
          </cell>
          <cell r="C328" t="str">
            <v>VAR_cap</v>
          </cell>
          <cell r="D328" t="str">
            <v>-</v>
          </cell>
          <cell r="E328">
            <v>3.0972541160856188</v>
          </cell>
          <cell r="F328">
            <v>3.0972561247175654</v>
          </cell>
          <cell r="G328">
            <v>3.0972585675351829</v>
          </cell>
          <cell r="H328">
            <v>3.0972605934154713</v>
          </cell>
        </row>
        <row r="329">
          <cell r="B329" t="str">
            <v>ITOT-CHPHFC</v>
          </cell>
          <cell r="C329" t="str">
            <v>VAR_fout</v>
          </cell>
          <cell r="D329" t="str">
            <v>ITOT_LTH_CHP</v>
          </cell>
          <cell r="E329"/>
          <cell r="F329"/>
          <cell r="G329"/>
          <cell r="H329"/>
        </row>
        <row r="330">
          <cell r="B330" t="str">
            <v>ITOT-CHPHFC</v>
          </cell>
          <cell r="C330" t="str">
            <v>VAR_fout</v>
          </cell>
          <cell r="D330" t="str">
            <v>ITOT_KEV_HFC_ELC_CHP</v>
          </cell>
          <cell r="E330"/>
          <cell r="F330"/>
          <cell r="G330"/>
          <cell r="H330"/>
        </row>
        <row r="331">
          <cell r="B331" t="str">
            <v>ITOT-CHPHFC</v>
          </cell>
          <cell r="C331" t="str">
            <v>VAR_fin</v>
          </cell>
          <cell r="D331" t="str">
            <v>IH2</v>
          </cell>
          <cell r="E331"/>
          <cell r="F331"/>
          <cell r="G331"/>
          <cell r="H331"/>
        </row>
        <row r="332">
          <cell r="B332" t="str">
            <v>ITOT-CHPHFC</v>
          </cell>
          <cell r="C332" t="str">
            <v>VAR_ncap</v>
          </cell>
          <cell r="D332" t="str">
            <v>-</v>
          </cell>
          <cell r="E332"/>
          <cell r="F332"/>
          <cell r="G332"/>
          <cell r="H332"/>
        </row>
        <row r="333">
          <cell r="B333" t="str">
            <v>ITOT-CHPHFC</v>
          </cell>
          <cell r="C333" t="str">
            <v>VAR_cap</v>
          </cell>
          <cell r="D333" t="str">
            <v>-</v>
          </cell>
          <cell r="E333"/>
          <cell r="F333"/>
          <cell r="G333"/>
          <cell r="H333"/>
        </row>
        <row r="334">
          <cell r="B334" t="str">
            <v>G-INTC-TRA</v>
          </cell>
          <cell r="C334" t="str">
            <v>VAR_fout</v>
          </cell>
          <cell r="D334" t="str">
            <v>TRAN_ELC</v>
          </cell>
          <cell r="E334">
            <v>10.665638605394875</v>
          </cell>
          <cell r="F334">
            <v>12.35304642969769</v>
          </cell>
          <cell r="G334">
            <v>15.637667288954495</v>
          </cell>
          <cell r="H334">
            <v>35.97432896002811</v>
          </cell>
        </row>
        <row r="335">
          <cell r="B335" t="str">
            <v>G-INTC-TRA</v>
          </cell>
          <cell r="C335" t="str">
            <v>VAR_fin</v>
          </cell>
          <cell r="D335" t="str">
            <v>ELC3</v>
          </cell>
          <cell r="E335">
            <v>9.8452048665183423</v>
          </cell>
          <cell r="F335">
            <v>12.284901901113448</v>
          </cell>
          <cell r="G335">
            <v>15.563116958273007</v>
          </cell>
          <cell r="H335">
            <v>25.28888471447522</v>
          </cell>
        </row>
        <row r="336">
          <cell r="B336" t="str">
            <v>G-INTC-TRA</v>
          </cell>
          <cell r="C336" t="str">
            <v>VAR_fin</v>
          </cell>
          <cell r="D336" t="str">
            <v>ELC5</v>
          </cell>
          <cell r="E336">
            <v>0.82043373887652749</v>
          </cell>
          <cell r="F336">
            <v>6.8144528584240402E-2</v>
          </cell>
          <cell r="G336">
            <v>7.4550330681487698E-2</v>
          </cell>
          <cell r="H336">
            <v>10.685444245552905</v>
          </cell>
        </row>
        <row r="337">
          <cell r="B337" t="str">
            <v>G-INTC-TRA</v>
          </cell>
          <cell r="C337" t="str">
            <v>VAR_ncap</v>
          </cell>
          <cell r="D337" t="str">
            <v>-</v>
          </cell>
          <cell r="E337">
            <v>3.7692181566143303E-5</v>
          </cell>
          <cell r="F337">
            <v>5.5100207584019301E-5</v>
          </cell>
          <cell r="G337">
            <v>7.6574684491305403E-2</v>
          </cell>
          <cell r="H337">
            <v>0.43563079121271803</v>
          </cell>
        </row>
        <row r="338">
          <cell r="B338" t="str">
            <v>G-INTC-TRA</v>
          </cell>
          <cell r="C338" t="str">
            <v>VAR_cap</v>
          </cell>
          <cell r="D338" t="str">
            <v>-</v>
          </cell>
          <cell r="E338">
            <v>0.86351880627381705</v>
          </cell>
          <cell r="F338">
            <v>0.86353106140287694</v>
          </cell>
          <cell r="G338">
            <v>0.86361159866296722</v>
          </cell>
          <cell r="H338">
            <v>1.1798657011997131</v>
          </cell>
        </row>
        <row r="339">
          <cell r="B339" t="str">
            <v>SCOM-SWHSTG-CHPBIO</v>
          </cell>
          <cell r="C339" t="str">
            <v>VAR_fout</v>
          </cell>
          <cell r="D339" t="str">
            <v>AUX_SCOM-CHPBIO_OUT</v>
          </cell>
          <cell r="E339">
            <v>2.4911826794072115E-4</v>
          </cell>
          <cell r="F339">
            <v>1.9371449643385047E-3</v>
          </cell>
          <cell r="G339">
            <v>7.7799432240265984</v>
          </cell>
          <cell r="H339">
            <v>8.8674617432371114</v>
          </cell>
        </row>
        <row r="340">
          <cell r="B340" t="str">
            <v>SCOM-SWHSTG-CHPBIO</v>
          </cell>
          <cell r="C340" t="str">
            <v>VAR_fout</v>
          </cell>
          <cell r="D340" t="str">
            <v>SCOM_LTH_CHPBIO</v>
          </cell>
          <cell r="E340">
            <v>2.4911826794072158E-4</v>
          </cell>
          <cell r="F340">
            <v>1.9387283267614647E-3</v>
          </cell>
          <cell r="G340">
            <v>7.7898792945553756</v>
          </cell>
          <cell r="H340">
            <v>8.8674617432370937</v>
          </cell>
        </row>
        <row r="341">
          <cell r="B341" t="str">
            <v>SCOM-SWHSTG-CHPBIO</v>
          </cell>
          <cell r="C341" t="str">
            <v>VAR_fin</v>
          </cell>
          <cell r="D341" t="str">
            <v>SCOM_LTH_CHPBIO</v>
          </cell>
          <cell r="E341">
            <v>2.0281391209855005E-4</v>
          </cell>
          <cell r="F341">
            <v>2.397827587306224E-3</v>
          </cell>
          <cell r="G341">
            <v>9.2734231368570974</v>
          </cell>
          <cell r="H341">
            <v>10.192434411286341</v>
          </cell>
        </row>
        <row r="342">
          <cell r="B342" t="str">
            <v>SCOM-SWHSTG-CHPBIO</v>
          </cell>
          <cell r="C342" t="str">
            <v>VAR_fin</v>
          </cell>
          <cell r="D342" t="str">
            <v>AUX_SCOM-CHPBIO_IN</v>
          </cell>
          <cell r="E342">
            <v>2.0281391209855005E-4</v>
          </cell>
          <cell r="F342">
            <v>2.397827587306224E-3</v>
          </cell>
          <cell r="G342">
            <v>9.2734231368570974</v>
          </cell>
          <cell r="H342">
            <v>10.192434411286341</v>
          </cell>
        </row>
        <row r="343">
          <cell r="B343" t="str">
            <v>SCOM-SWHSTG-CHPBIO</v>
          </cell>
          <cell r="C343" t="str">
            <v>VAR_ncap</v>
          </cell>
          <cell r="D343" t="str">
            <v>-</v>
          </cell>
          <cell r="E343">
            <v>6.0324867494537297E-2</v>
          </cell>
          <cell r="F343">
            <v>8.7350868152205098E-4</v>
          </cell>
          <cell r="G343">
            <v>0.42990229439920102</v>
          </cell>
          <cell r="H343">
            <v>6.68374648816802E-2</v>
          </cell>
        </row>
        <row r="344">
          <cell r="B344" t="str">
            <v>SCOM-SWHSTG-CHPBIO</v>
          </cell>
          <cell r="C344" t="str">
            <v>VAR_cap</v>
          </cell>
          <cell r="D344" t="str">
            <v>-</v>
          </cell>
          <cell r="E344">
            <v>6.0324867494537297E-2</v>
          </cell>
          <cell r="F344">
            <v>6.1117540822152323E-2</v>
          </cell>
          <cell r="G344">
            <v>0.490661630863864</v>
          </cell>
          <cell r="H344">
            <v>0.55689525979550036</v>
          </cell>
        </row>
        <row r="345">
          <cell r="B345" t="str">
            <v>SCOM-SWHSTG-CHPHFC</v>
          </cell>
          <cell r="C345" t="str">
            <v>VAR_fout</v>
          </cell>
          <cell r="D345" t="str">
            <v>AUX_SCOM-CHPHFC_OUT</v>
          </cell>
          <cell r="E345">
            <v>1.3574239503739913E-3</v>
          </cell>
          <cell r="F345">
            <v>1.0323066755368062E-3</v>
          </cell>
          <cell r="G345">
            <v>2.1088550657524701E-3</v>
          </cell>
          <cell r="H345">
            <v>0.20958740361057995</v>
          </cell>
        </row>
        <row r="346">
          <cell r="B346" t="str">
            <v>SCOM-SWHSTG-CHPHFC</v>
          </cell>
          <cell r="C346" t="str">
            <v>VAR_fout</v>
          </cell>
          <cell r="D346" t="str">
            <v>SCOM_LTH_CHPHFC</v>
          </cell>
          <cell r="E346">
            <v>1.3574239503739937E-3</v>
          </cell>
          <cell r="F346">
            <v>1.0331504511081268E-3</v>
          </cell>
          <cell r="G346">
            <v>2.1115483672412994E-3</v>
          </cell>
          <cell r="H346">
            <v>0.20958740361057956</v>
          </cell>
        </row>
        <row r="347">
          <cell r="B347" t="str">
            <v>SCOM-SWHSTG-CHPHFC</v>
          </cell>
          <cell r="C347" t="str">
            <v>VAR_fin</v>
          </cell>
          <cell r="D347" t="str">
            <v>SCOM_LTH_CHPHFC</v>
          </cell>
          <cell r="E347">
            <v>1.3574239503739937E-3</v>
          </cell>
          <cell r="F347">
            <v>1.0331504511081268E-3</v>
          </cell>
          <cell r="G347">
            <v>2.1115483672412994E-3</v>
          </cell>
          <cell r="H347">
            <v>0.24084482784885469</v>
          </cell>
        </row>
        <row r="348">
          <cell r="B348" t="str">
            <v>SCOM-SWHSTG-CHPHFC</v>
          </cell>
          <cell r="C348" t="str">
            <v>VAR_fin</v>
          </cell>
          <cell r="D348" t="str">
            <v>AUX_SCOM-CHPHFC_IN</v>
          </cell>
          <cell r="E348">
            <v>1.3574239503739937E-3</v>
          </cell>
          <cell r="F348">
            <v>1.0331504511081268E-3</v>
          </cell>
          <cell r="G348">
            <v>2.1115483672412994E-3</v>
          </cell>
          <cell r="H348">
            <v>0.24084482784885469</v>
          </cell>
        </row>
        <row r="349">
          <cell r="B349" t="str">
            <v>SCOM-SWHSTG-CHPHFC</v>
          </cell>
          <cell r="C349" t="str">
            <v>VAR_ncap</v>
          </cell>
          <cell r="D349" t="str">
            <v>-</v>
          </cell>
          <cell r="E349">
            <v>2.5686953925332399E-2</v>
          </cell>
          <cell r="F349">
            <v>1.03471269423694E-3</v>
          </cell>
          <cell r="G349">
            <v>1.1800457365252E-3</v>
          </cell>
          <cell r="H349">
            <v>1.0749498289384001E-3</v>
          </cell>
        </row>
        <row r="350">
          <cell r="B350" t="str">
            <v>SCOM-SWHSTG-CHPHFC</v>
          </cell>
          <cell r="C350" t="str">
            <v>VAR_cap</v>
          </cell>
          <cell r="D350" t="str">
            <v>-</v>
          </cell>
          <cell r="E350">
            <v>2.5686953925332399E-2</v>
          </cell>
          <cell r="F350">
            <v>2.6638977876624712E-2</v>
          </cell>
          <cell r="G350">
            <v>2.7611470872933173E-2</v>
          </cell>
          <cell r="H350">
            <v>2.8171090041334251E-2</v>
          </cell>
        </row>
        <row r="351">
          <cell r="B351" t="str">
            <v>D-IHFO</v>
          </cell>
          <cell r="C351" t="str">
            <v>VAR_fout</v>
          </cell>
          <cell r="D351" t="str">
            <v>CO2</v>
          </cell>
          <cell r="E351">
            <v>213.79241210908199</v>
          </cell>
          <cell r="F351">
            <v>212.85628720739001</v>
          </cell>
          <cell r="G351">
            <v>3.7172709845761398</v>
          </cell>
          <cell r="H351">
            <v>0.355862195401279</v>
          </cell>
        </row>
        <row r="352">
          <cell r="B352" t="str">
            <v>D-IHFO</v>
          </cell>
          <cell r="C352" t="str">
            <v>VAR_fout</v>
          </cell>
          <cell r="D352" t="str">
            <v>IHFO</v>
          </cell>
          <cell r="E352">
            <v>2.7301536321320046</v>
          </cell>
          <cell r="F352">
            <v>2.7181992097309959</v>
          </cell>
          <cell r="G352">
            <v>4.7469976974586547E-2</v>
          </cell>
          <cell r="H352">
            <v>4.5444010651676508E-3</v>
          </cell>
        </row>
        <row r="353">
          <cell r="B353" t="str">
            <v>D-IHFO</v>
          </cell>
          <cell r="C353" t="str">
            <v>VAR_fin</v>
          </cell>
          <cell r="D353" t="str">
            <v>HFO</v>
          </cell>
          <cell r="E353">
            <v>2.7765248325854821</v>
          </cell>
          <cell r="F353">
            <v>2.7643673663297474</v>
          </cell>
          <cell r="G353">
            <v>4.8276246552936893E-2</v>
          </cell>
          <cell r="H353">
            <v>4.6215869532633732E-3</v>
          </cell>
        </row>
        <row r="354">
          <cell r="B354" t="str">
            <v>RHNM-CHPNGA</v>
          </cell>
          <cell r="C354" t="str">
            <v>VAR_fout</v>
          </cell>
          <cell r="D354" t="str">
            <v>CO2_R</v>
          </cell>
          <cell r="E354"/>
          <cell r="F354">
            <v>1.08008994916944</v>
          </cell>
          <cell r="G354">
            <v>5.1095686072255697</v>
          </cell>
          <cell r="H354"/>
        </row>
        <row r="355">
          <cell r="B355" t="str">
            <v>RHNM-CHPNGA</v>
          </cell>
          <cell r="C355" t="str">
            <v>VAR_fout</v>
          </cell>
          <cell r="D355" t="str">
            <v>RHNM_NKEV_GAS_ELC_CHP</v>
          </cell>
          <cell r="E355"/>
          <cell r="F355">
            <v>4.9971412282404978E-3</v>
          </cell>
          <cell r="G355">
            <v>1.2475269824182129E-2</v>
          </cell>
          <cell r="H355"/>
        </row>
        <row r="356">
          <cell r="B356" t="str">
            <v>RHNM-CHPNGA</v>
          </cell>
          <cell r="C356" t="str">
            <v>VAR_fout</v>
          </cell>
          <cell r="D356" t="str">
            <v>RHNM_LTH_CHPNGA</v>
          </cell>
          <cell r="E356"/>
          <cell r="F356">
            <v>1.0750171865258541E-2</v>
          </cell>
          <cell r="G356">
            <v>2.6441836271025136E-2</v>
          </cell>
          <cell r="H356"/>
        </row>
        <row r="357">
          <cell r="B357" t="str">
            <v>RHNM-CHPNGA</v>
          </cell>
          <cell r="C357" t="str">
            <v>VAR_fin</v>
          </cell>
          <cell r="D357" t="str">
            <v>RNGA</v>
          </cell>
          <cell r="E357"/>
          <cell r="F357">
            <v>1.9150531013642592E-2</v>
          </cell>
          <cell r="G357">
            <v>9.0595188071375357E-2</v>
          </cell>
          <cell r="H357"/>
        </row>
        <row r="358">
          <cell r="B358" t="str">
            <v>RHNM-CHPNGA</v>
          </cell>
          <cell r="C358" t="str">
            <v>VAR_ncap</v>
          </cell>
          <cell r="D358" t="str">
            <v>-</v>
          </cell>
          <cell r="E358"/>
          <cell r="F358">
            <v>1.47160414061876E-3</v>
          </cell>
          <cell r="G358"/>
          <cell r="H358"/>
        </row>
        <row r="359">
          <cell r="B359" t="str">
            <v>RHNM-CHPNGA</v>
          </cell>
          <cell r="C359" t="str">
            <v>VAR_cap</v>
          </cell>
          <cell r="D359" t="str">
            <v>-</v>
          </cell>
          <cell r="E359"/>
          <cell r="F359">
            <v>1.47160414061876E-3</v>
          </cell>
          <cell r="G359">
            <v>1.4713865144675917E-3</v>
          </cell>
          <cell r="H359">
            <v>1.4498891717270397E-3</v>
          </cell>
        </row>
        <row r="360">
          <cell r="B360" t="str">
            <v>G-INTC-EXP00-DE</v>
          </cell>
          <cell r="C360" t="str">
            <v>VAR_fout</v>
          </cell>
          <cell r="D360" t="str">
            <v>ELC_E-DE</v>
          </cell>
          <cell r="E360">
            <v>26.493024221127655</v>
          </cell>
          <cell r="F360">
            <v>1.0514877998353319E-2</v>
          </cell>
          <cell r="G360">
            <v>1.2516595336610458E-2</v>
          </cell>
          <cell r="H360">
            <v>9.1876373848008511E-3</v>
          </cell>
        </row>
        <row r="361">
          <cell r="B361" t="str">
            <v>G-INTC-EXP00-DE</v>
          </cell>
          <cell r="C361" t="str">
            <v>VAR_fin</v>
          </cell>
          <cell r="D361" t="str">
            <v>ELC</v>
          </cell>
          <cell r="E361">
            <v>26.493024221127655</v>
          </cell>
          <cell r="F361">
            <v>1.0514877998353319E-2</v>
          </cell>
          <cell r="G361">
            <v>1.2516595336610458E-2</v>
          </cell>
          <cell r="H361">
            <v>9.1876373848008511E-3</v>
          </cell>
        </row>
        <row r="362">
          <cell r="B362" t="str">
            <v>G-INTC-EXP00-DE</v>
          </cell>
          <cell r="C362" t="str">
            <v>VAR_ncap</v>
          </cell>
          <cell r="D362" t="str">
            <v>-</v>
          </cell>
          <cell r="E362">
            <v>2.9647310851364302E-5</v>
          </cell>
          <cell r="F362">
            <v>2.6818609999818801E-5</v>
          </cell>
          <cell r="G362">
            <v>3.8274894036711098E-5</v>
          </cell>
          <cell r="H362">
            <v>2.7552781351220098E-3</v>
          </cell>
        </row>
        <row r="363">
          <cell r="B363" t="str">
            <v>G-INTC-EXP00-DE</v>
          </cell>
          <cell r="C363" t="str">
            <v>VAR_cap</v>
          </cell>
          <cell r="D363" t="str">
            <v>-</v>
          </cell>
          <cell r="E363">
            <v>4.0416624102944976</v>
          </cell>
          <cell r="F363">
            <v>1.5016087388219468E-2</v>
          </cell>
          <cell r="G363">
            <v>1.4865338163779995E-2</v>
          </cell>
          <cell r="H363">
            <v>1.4800028807153254E-2</v>
          </cell>
        </row>
        <row r="364">
          <cell r="B364" t="str">
            <v>CEN-EBAT</v>
          </cell>
          <cell r="C364" t="str">
            <v>VAR_fout</v>
          </cell>
          <cell r="D364" t="str">
            <v>ELC13</v>
          </cell>
          <cell r="E364">
            <v>6.5281552500512124E-2</v>
          </cell>
          <cell r="F364">
            <v>6.1819133058506948E-2</v>
          </cell>
          <cell r="G364">
            <v>6.3527400894878738E-2</v>
          </cell>
          <cell r="H364">
            <v>0.18716294914312429</v>
          </cell>
        </row>
        <row r="365">
          <cell r="B365" t="str">
            <v>CEN-EBAT</v>
          </cell>
          <cell r="C365" t="str">
            <v>VAR_fout</v>
          </cell>
          <cell r="D365" t="str">
            <v>AUX_CEN-EBAT_OUT</v>
          </cell>
          <cell r="E365">
            <v>6.5281552500511875E-2</v>
          </cell>
          <cell r="F365">
            <v>6.1819133058506746E-2</v>
          </cell>
          <cell r="G365">
            <v>6.3527400894878558E-2</v>
          </cell>
          <cell r="H365">
            <v>0.18716294914312365</v>
          </cell>
        </row>
        <row r="366">
          <cell r="B366" t="str">
            <v>CEN-EBAT</v>
          </cell>
          <cell r="C366" t="str">
            <v>VAR_fin</v>
          </cell>
          <cell r="D366" t="str">
            <v>AUX_CEN-EBAT_IN</v>
          </cell>
          <cell r="E366">
            <v>7.568817361514843E-2</v>
          </cell>
          <cell r="F366">
            <v>7.1510951842750053E-2</v>
          </cell>
          <cell r="G366">
            <v>7.3281443349705988E-2</v>
          </cell>
          <cell r="H366">
            <v>0.21589922497023142</v>
          </cell>
        </row>
        <row r="367">
          <cell r="B367" t="str">
            <v>CEN-EBAT</v>
          </cell>
          <cell r="C367" t="str">
            <v>VAR_fin</v>
          </cell>
          <cell r="D367" t="str">
            <v>ELC13</v>
          </cell>
          <cell r="E367">
            <v>7.568817361514843E-2</v>
          </cell>
          <cell r="F367">
            <v>7.1510951842750053E-2</v>
          </cell>
          <cell r="G367">
            <v>7.3281443349705988E-2</v>
          </cell>
          <cell r="H367">
            <v>0.21589922497023142</v>
          </cell>
        </row>
        <row r="368">
          <cell r="B368" t="str">
            <v>CEN-EBAT</v>
          </cell>
          <cell r="C368" t="str">
            <v>VAR_ncap</v>
          </cell>
          <cell r="D368" t="str">
            <v>-</v>
          </cell>
          <cell r="E368">
            <v>1.2706960992768201E-2</v>
          </cell>
          <cell r="F368">
            <v>2.2776678607035101E-5</v>
          </cell>
          <cell r="G368">
            <v>1.65505083251737E-4</v>
          </cell>
          <cell r="H368">
            <v>2.24933384207151E-2</v>
          </cell>
        </row>
        <row r="369">
          <cell r="B369" t="str">
            <v>CEN-EBAT</v>
          </cell>
          <cell r="C369" t="str">
            <v>VAR_cap</v>
          </cell>
          <cell r="D369" t="str">
            <v>-</v>
          </cell>
          <cell r="E369">
            <v>1.2706960992768201E-2</v>
          </cell>
          <cell r="F369">
            <v>1.271593329609862E-2</v>
          </cell>
          <cell r="G369">
            <v>1.2866627606723847E-2</v>
          </cell>
          <cell r="H369">
            <v>3.1949216350766994E-2</v>
          </cell>
        </row>
        <row r="370">
          <cell r="B370" t="str">
            <v>ESOL-PV</v>
          </cell>
          <cell r="C370" t="str">
            <v>VAR_fout</v>
          </cell>
          <cell r="D370" t="str">
            <v>ELC35</v>
          </cell>
          <cell r="E370"/>
          <cell r="F370"/>
          <cell r="G370">
            <v>0.14061592372971998</v>
          </cell>
          <cell r="H370">
            <v>0.23809249862226711</v>
          </cell>
        </row>
        <row r="371">
          <cell r="B371" t="str">
            <v>ESOL-PV</v>
          </cell>
          <cell r="C371" t="str">
            <v>VAR_fin</v>
          </cell>
          <cell r="D371" t="str">
            <v>SOL</v>
          </cell>
          <cell r="E371"/>
          <cell r="F371"/>
          <cell r="G371">
            <v>0.14061592372971998</v>
          </cell>
          <cell r="H371">
            <v>0.23809249862226711</v>
          </cell>
        </row>
        <row r="372">
          <cell r="B372" t="str">
            <v>ESOL-PV</v>
          </cell>
          <cell r="C372" t="str">
            <v>VAR_fin</v>
          </cell>
          <cell r="D372" t="str">
            <v>SOLPVC</v>
          </cell>
          <cell r="E372"/>
          <cell r="F372"/>
          <cell r="G372">
            <v>0.14061592372972001</v>
          </cell>
          <cell r="H372">
            <v>0.238092498622267</v>
          </cell>
        </row>
        <row r="373">
          <cell r="B373" t="str">
            <v>ESOL-PV</v>
          </cell>
          <cell r="C373" t="str">
            <v>VAR_ncap</v>
          </cell>
          <cell r="D373" t="str">
            <v>-</v>
          </cell>
          <cell r="E373"/>
          <cell r="F373"/>
          <cell r="G373">
            <v>4.4864911900832499E-2</v>
          </cell>
          <cell r="H373">
            <v>2.3775703456587E-2</v>
          </cell>
        </row>
        <row r="374">
          <cell r="B374" t="str">
            <v>ESOL-PV</v>
          </cell>
          <cell r="C374" t="str">
            <v>VAR_cap</v>
          </cell>
          <cell r="D374" t="str">
            <v>-</v>
          </cell>
          <cell r="E374"/>
          <cell r="F374"/>
          <cell r="G374">
            <v>4.4864911900832499E-2</v>
          </cell>
          <cell r="H374">
            <v>6.8640615357419499E-2</v>
          </cell>
        </row>
        <row r="375">
          <cell r="B375" t="str">
            <v>RHEM-SHSTG-CHPNGA</v>
          </cell>
          <cell r="C375" t="str">
            <v>VAR_fout</v>
          </cell>
          <cell r="D375" t="str">
            <v>RHEM_LTH_CHPNGA</v>
          </cell>
          <cell r="E375">
            <v>0.12652775082626028</v>
          </cell>
          <cell r="F375">
            <v>2.9111568499291191E-3</v>
          </cell>
          <cell r="G375">
            <v>3.9529643348315026E-2</v>
          </cell>
          <cell r="H375">
            <v>2.0738127455407363E-3</v>
          </cell>
        </row>
        <row r="376">
          <cell r="B376" t="str">
            <v>RHEM-SHSTG-CHPNGA</v>
          </cell>
          <cell r="C376" t="str">
            <v>VAR_fout</v>
          </cell>
          <cell r="D376" t="str">
            <v>AUX_REM-CHPNGA_OUT</v>
          </cell>
          <cell r="E376">
            <v>0.12652775082626053</v>
          </cell>
          <cell r="F376">
            <v>2.9092173716813354E-3</v>
          </cell>
          <cell r="G376">
            <v>3.9488509484268963E-2</v>
          </cell>
          <cell r="H376">
            <v>2.0738127455407363E-3</v>
          </cell>
        </row>
        <row r="377">
          <cell r="B377" t="str">
            <v>RHEM-SHSTG-CHPNGA</v>
          </cell>
          <cell r="C377" t="str">
            <v>VAR_fin</v>
          </cell>
          <cell r="D377" t="str">
            <v>AUX_REM-CHPNGA_IN</v>
          </cell>
          <cell r="E377">
            <v>0.16886659588298764</v>
          </cell>
          <cell r="F377">
            <v>3.8675647811319317E-3</v>
          </cell>
          <cell r="G377">
            <v>5.1058361168600727E-2</v>
          </cell>
          <cell r="H377">
            <v>1.6226759256274836E-3</v>
          </cell>
        </row>
        <row r="378">
          <cell r="B378" t="str">
            <v>RHEM-SHSTG-CHPNGA</v>
          </cell>
          <cell r="C378" t="str">
            <v>VAR_fin</v>
          </cell>
          <cell r="D378" t="str">
            <v>RHEM_LTH_CHPNGA</v>
          </cell>
          <cell r="E378">
            <v>0.16886659588298764</v>
          </cell>
          <cell r="F378">
            <v>3.8675647811319317E-3</v>
          </cell>
          <cell r="G378">
            <v>5.1058361168600727E-2</v>
          </cell>
          <cell r="H378">
            <v>1.6226759256274836E-3</v>
          </cell>
        </row>
        <row r="379">
          <cell r="B379" t="str">
            <v>RHEM-SHSTG-CHPNGA</v>
          </cell>
          <cell r="C379" t="str">
            <v>VAR_ncap</v>
          </cell>
          <cell r="D379" t="str">
            <v>-</v>
          </cell>
          <cell r="E379">
            <v>6.3957863596810396E-2</v>
          </cell>
          <cell r="F379">
            <v>1.5261410273712901E-3</v>
          </cell>
          <cell r="G379">
            <v>8.2676954518363303E-4</v>
          </cell>
          <cell r="H379">
            <v>4.6823914326539099E-4</v>
          </cell>
        </row>
        <row r="380">
          <cell r="B380" t="str">
            <v>RHEM-SHSTG-CHPNGA</v>
          </cell>
          <cell r="C380" t="str">
            <v>VAR_cap</v>
          </cell>
          <cell r="D380" t="str">
            <v>-</v>
          </cell>
          <cell r="E380">
            <v>6.3957863596810396E-2</v>
          </cell>
          <cell r="F380">
            <v>6.5364323090651724E-2</v>
          </cell>
          <cell r="G380">
            <v>6.5764127514762336E-2</v>
          </cell>
          <cell r="H380">
            <v>6.2779681015615332E-2</v>
          </cell>
        </row>
        <row r="381">
          <cell r="B381" t="str">
            <v>RHNS-ESOLPV</v>
          </cell>
          <cell r="C381" t="str">
            <v>VAR_fout</v>
          </cell>
          <cell r="D381" t="str">
            <v>RHNS_SOL_ELC</v>
          </cell>
          <cell r="E381"/>
          <cell r="F381">
            <v>8.1350450122781083E-4</v>
          </cell>
          <cell r="G381">
            <v>0.62075657762579195</v>
          </cell>
          <cell r="H381">
            <v>6.8335370280027172</v>
          </cell>
        </row>
        <row r="382">
          <cell r="B382" t="str">
            <v>RHNS-ESOLPV</v>
          </cell>
          <cell r="C382" t="str">
            <v>VAR_fin</v>
          </cell>
          <cell r="D382" t="str">
            <v>SOL</v>
          </cell>
          <cell r="E382"/>
          <cell r="F382">
            <v>8.1350450122781083E-4</v>
          </cell>
          <cell r="G382">
            <v>0.62075657762579195</v>
          </cell>
          <cell r="H382">
            <v>6.8335370280027172</v>
          </cell>
        </row>
        <row r="383">
          <cell r="B383" t="str">
            <v>RHNS-ESOLPV</v>
          </cell>
          <cell r="C383" t="str">
            <v>VAR_fin</v>
          </cell>
          <cell r="D383" t="str">
            <v>SOLPVC</v>
          </cell>
          <cell r="E383"/>
          <cell r="F383">
            <v>8.1350450122780996E-4</v>
          </cell>
          <cell r="G383">
            <v>0.62075657762579195</v>
          </cell>
          <cell r="H383">
            <v>6.8335370280027199</v>
          </cell>
        </row>
        <row r="384">
          <cell r="B384" t="str">
            <v>RHNS-ESOLPV</v>
          </cell>
          <cell r="C384" t="str">
            <v>VAR_ncap</v>
          </cell>
          <cell r="D384" t="str">
            <v>-</v>
          </cell>
          <cell r="E384"/>
          <cell r="F384">
            <v>2.7732900317598502E-4</v>
          </cell>
          <cell r="G384">
            <v>0.19778559602894899</v>
          </cell>
          <cell r="H384">
            <v>1.77185359766256</v>
          </cell>
        </row>
        <row r="385">
          <cell r="B385" t="str">
            <v>RHNS-ESOLPV</v>
          </cell>
          <cell r="C385" t="str">
            <v>VAR_cap</v>
          </cell>
          <cell r="D385" t="str">
            <v>-</v>
          </cell>
          <cell r="E385"/>
          <cell r="F385">
            <v>2.7732900317598502E-4</v>
          </cell>
          <cell r="G385">
            <v>0.198062925032125</v>
          </cell>
          <cell r="H385">
            <v>1.96991652269469</v>
          </cell>
        </row>
        <row r="386">
          <cell r="B386" t="str">
            <v>RHSA-WHSTG-CHP</v>
          </cell>
          <cell r="C386" t="str">
            <v>VAR_fout</v>
          </cell>
          <cell r="D386" t="str">
            <v>AUX_RHSA-CHP_OUT</v>
          </cell>
          <cell r="E386">
            <v>1.0561550153448553</v>
          </cell>
          <cell r="F386">
            <v>1.127467152059968E-2</v>
          </cell>
          <cell r="G386">
            <v>0.14014178290772733</v>
          </cell>
          <cell r="H386">
            <v>2.3172055079226133E-2</v>
          </cell>
        </row>
        <row r="387">
          <cell r="B387" t="str">
            <v>RHSA-WHSTG-CHP</v>
          </cell>
          <cell r="C387" t="str">
            <v>VAR_fout</v>
          </cell>
          <cell r="D387" t="str">
            <v>RHSA_LTH</v>
          </cell>
          <cell r="E387">
            <v>1.0561550153448531</v>
          </cell>
          <cell r="F387">
            <v>1.1282187968280059E-2</v>
          </cell>
          <cell r="G387">
            <v>0.14028776393158934</v>
          </cell>
          <cell r="H387">
            <v>2.3172055079226133E-2</v>
          </cell>
        </row>
        <row r="388">
          <cell r="B388" t="str">
            <v>RHSA-WHSTG-CHP</v>
          </cell>
          <cell r="C388" t="str">
            <v>VAR_fin</v>
          </cell>
          <cell r="D388" t="str">
            <v>RHSA_LTH</v>
          </cell>
          <cell r="E388">
            <v>1.4080670344567208</v>
          </cell>
          <cell r="F388">
            <v>1.4594045778002707E-2</v>
          </cell>
          <cell r="G388">
            <v>0.18106883934042708</v>
          </cell>
          <cell r="H388">
            <v>2.9029419622968119E-2</v>
          </cell>
        </row>
        <row r="389">
          <cell r="B389" t="str">
            <v>RHSA-WHSTG-CHP</v>
          </cell>
          <cell r="C389" t="str">
            <v>VAR_fin</v>
          </cell>
          <cell r="D389" t="str">
            <v>AUX_RHSA-CHP_IN</v>
          </cell>
          <cell r="E389">
            <v>1.4080670344567208</v>
          </cell>
          <cell r="F389">
            <v>1.4594045778002707E-2</v>
          </cell>
          <cell r="G389">
            <v>0.18106883934042708</v>
          </cell>
          <cell r="H389">
            <v>2.9029419622968119E-2</v>
          </cell>
        </row>
        <row r="390">
          <cell r="B390" t="str">
            <v>RHSA-WHSTG-CHP</v>
          </cell>
          <cell r="C390" t="str">
            <v>VAR_ncap</v>
          </cell>
          <cell r="D390" t="str">
            <v>-</v>
          </cell>
          <cell r="E390">
            <v>9.0311371527360004E-2</v>
          </cell>
          <cell r="F390">
            <v>6.6229726707255597E-4</v>
          </cell>
          <cell r="G390">
            <v>6.9364995719086505E-4</v>
          </cell>
          <cell r="H390">
            <v>5.0496705811243798E-4</v>
          </cell>
        </row>
        <row r="391">
          <cell r="B391" t="str">
            <v>RHSA-WHSTG-CHP</v>
          </cell>
          <cell r="C391" t="str">
            <v>VAR_cap</v>
          </cell>
          <cell r="D391" t="str">
            <v>-</v>
          </cell>
          <cell r="E391">
            <v>9.0967199381981348E-2</v>
          </cell>
          <cell r="F391">
            <v>9.1231409757943499E-2</v>
          </cell>
          <cell r="G391">
            <v>9.1001686465789197E-2</v>
          </cell>
          <cell r="H391">
            <v>8.3189091875644397E-2</v>
          </cell>
        </row>
        <row r="392">
          <cell r="B392" t="str">
            <v>G-INTC-SER</v>
          </cell>
          <cell r="C392" t="str">
            <v>VAR_fout</v>
          </cell>
          <cell r="D392" t="str">
            <v>ELC35</v>
          </cell>
          <cell r="E392">
            <v>7.3894809929289748E-2</v>
          </cell>
          <cell r="F392">
            <v>2.3736543045713314E-2</v>
          </cell>
          <cell r="G392">
            <v>2.743243754876671E-2</v>
          </cell>
          <cell r="H392">
            <v>1.8654741948713215E-2</v>
          </cell>
        </row>
        <row r="393">
          <cell r="B393" t="str">
            <v>G-INTC-SER</v>
          </cell>
          <cell r="C393" t="str">
            <v>VAR_fout</v>
          </cell>
          <cell r="D393" t="str">
            <v>SCOM_ELC</v>
          </cell>
          <cell r="E393">
            <v>57.709176493181189</v>
          </cell>
          <cell r="F393">
            <v>56.909587543598427</v>
          </cell>
          <cell r="G393">
            <v>50.840384641491987</v>
          </cell>
          <cell r="H393">
            <v>41.531000547426551</v>
          </cell>
        </row>
        <row r="394">
          <cell r="B394" t="str">
            <v>G-INTC-SER</v>
          </cell>
          <cell r="C394" t="str">
            <v>VAR_fin</v>
          </cell>
          <cell r="D394" t="str">
            <v>ELC5</v>
          </cell>
          <cell r="E394">
            <v>57.782977776089808</v>
          </cell>
          <cell r="F394">
            <v>56.933324086644149</v>
          </cell>
          <cell r="G394">
            <v>50.867817079040748</v>
          </cell>
          <cell r="H394">
            <v>41.549525457009942</v>
          </cell>
        </row>
        <row r="395">
          <cell r="B395" t="str">
            <v>G-INTC-SER</v>
          </cell>
          <cell r="C395" t="str">
            <v>VAR_ncap</v>
          </cell>
          <cell r="D395" t="str">
            <v>-</v>
          </cell>
          <cell r="E395">
            <v>2.7809683374703501E-6</v>
          </cell>
          <cell r="F395">
            <v>3.5643725460207801E-6</v>
          </cell>
          <cell r="G395">
            <v>3.8051445373120502E-6</v>
          </cell>
          <cell r="H395">
            <v>5.0526969267354999E-6</v>
          </cell>
        </row>
        <row r="396">
          <cell r="B396" t="str">
            <v>G-INTC-SER</v>
          </cell>
          <cell r="C396" t="str">
            <v>VAR_cap</v>
          </cell>
          <cell r="D396" t="str">
            <v>-</v>
          </cell>
          <cell r="E396">
            <v>4.3683888589490198</v>
          </cell>
          <cell r="F396">
            <v>4.3683897631451813</v>
          </cell>
          <cell r="G396">
            <v>4.3683952042899037</v>
          </cell>
          <cell r="H396">
            <v>4.3684017893744347</v>
          </cell>
        </row>
        <row r="397">
          <cell r="B397" t="str">
            <v>CHPWOD</v>
          </cell>
          <cell r="C397" t="str">
            <v>VAR_fout</v>
          </cell>
          <cell r="D397" t="str">
            <v>ELC35</v>
          </cell>
          <cell r="E397">
            <v>3.5079983935050367E-3</v>
          </cell>
          <cell r="F397">
            <v>6.8108258539394759E-3</v>
          </cell>
          <cell r="G397">
            <v>8.6760319546774801E-3</v>
          </cell>
          <cell r="H397">
            <v>5.5797107946290385E-2</v>
          </cell>
        </row>
        <row r="398">
          <cell r="B398" t="str">
            <v>CHPWOD</v>
          </cell>
          <cell r="C398" t="str">
            <v>VAR_fout</v>
          </cell>
          <cell r="D398" t="str">
            <v>LTH</v>
          </cell>
          <cell r="E398">
            <v>9.1740638507770561E-3</v>
          </cell>
          <cell r="F398">
            <v>1.7811567809224011E-2</v>
          </cell>
          <cell r="G398">
            <v>2.268942633239519E-2</v>
          </cell>
          <cell r="H398">
            <v>0.14591974498497803</v>
          </cell>
        </row>
        <row r="399">
          <cell r="B399" t="str">
            <v>CHPWOD</v>
          </cell>
          <cell r="C399" t="str">
            <v>VAR_fin</v>
          </cell>
          <cell r="D399" t="str">
            <v>EWOD</v>
          </cell>
          <cell r="E399">
            <v>1.4503910075075148E-2</v>
          </cell>
          <cell r="F399">
            <v>3.3081899380229367E-2</v>
          </cell>
          <cell r="G399">
            <v>4.4179269800994389E-2</v>
          </cell>
          <cell r="H399">
            <v>0.21209323772649974</v>
          </cell>
        </row>
        <row r="400">
          <cell r="B400" t="str">
            <v>CHPWOD</v>
          </cell>
          <cell r="C400" t="str">
            <v>VAR_ncap</v>
          </cell>
          <cell r="D400" t="str">
            <v>-</v>
          </cell>
          <cell r="E400"/>
          <cell r="F400">
            <v>6.7366484568596205E-4</v>
          </cell>
          <cell r="G400">
            <v>3.2804993034795098E-4</v>
          </cell>
          <cell r="H400">
            <v>2.33579354156465E-3</v>
          </cell>
        </row>
        <row r="401">
          <cell r="B401" t="str">
            <v>CHPWOD</v>
          </cell>
          <cell r="C401" t="str">
            <v>VAR_cap</v>
          </cell>
          <cell r="D401" t="str">
            <v>-</v>
          </cell>
          <cell r="E401">
            <v>6.3088220311879883E-4</v>
          </cell>
          <cell r="F401">
            <v>1.2370814708184685E-3</v>
          </cell>
          <cell r="G401">
            <v>1.5587230261404142E-3</v>
          </cell>
          <cell r="H401">
            <v>3.8329771409397612E-3</v>
          </cell>
        </row>
        <row r="402">
          <cell r="B402" t="str">
            <v>D-EH2R</v>
          </cell>
          <cell r="C402" t="str">
            <v>VAR_fout</v>
          </cell>
          <cell r="D402" t="str">
            <v>EH2</v>
          </cell>
          <cell r="E402"/>
          <cell r="F402"/>
          <cell r="G402"/>
          <cell r="H402"/>
        </row>
        <row r="403">
          <cell r="B403" t="str">
            <v>D-EH2R</v>
          </cell>
          <cell r="C403" t="str">
            <v>VAR_fin</v>
          </cell>
          <cell r="D403" t="str">
            <v>H2</v>
          </cell>
          <cell r="E403"/>
          <cell r="F403"/>
          <cell r="G403"/>
          <cell r="H403"/>
        </row>
        <row r="404">
          <cell r="B404" t="str">
            <v>D-EH2R</v>
          </cell>
          <cell r="C404" t="str">
            <v>VAR_ncap</v>
          </cell>
          <cell r="D404" t="str">
            <v>-</v>
          </cell>
          <cell r="E404"/>
          <cell r="F404"/>
          <cell r="G404"/>
          <cell r="H404"/>
        </row>
        <row r="405">
          <cell r="B405" t="str">
            <v>D-EH2R</v>
          </cell>
          <cell r="C405" t="str">
            <v>VAR_cap</v>
          </cell>
          <cell r="D405" t="str">
            <v>-</v>
          </cell>
          <cell r="E405"/>
          <cell r="F405"/>
          <cell r="G405"/>
          <cell r="H405"/>
        </row>
        <row r="406">
          <cell r="B406" t="str">
            <v>G-INTC1</v>
          </cell>
          <cell r="C406" t="str">
            <v>VAR_fout</v>
          </cell>
          <cell r="D406" t="str">
            <v>ELC13</v>
          </cell>
          <cell r="E406">
            <v>125.44520487688679</v>
          </cell>
          <cell r="F406">
            <v>140.3547347852936</v>
          </cell>
          <cell r="G406">
            <v>120.16449265238711</v>
          </cell>
          <cell r="H406">
            <v>125.29278317884307</v>
          </cell>
        </row>
        <row r="407">
          <cell r="B407" t="str">
            <v>G-INTC1</v>
          </cell>
          <cell r="C407" t="str">
            <v>VAR_fin</v>
          </cell>
          <cell r="D407" t="str">
            <v>ELC</v>
          </cell>
          <cell r="E407">
            <v>126.76627301808452</v>
          </cell>
          <cell r="F407">
            <v>143.99270633828942</v>
          </cell>
          <cell r="G407">
            <v>123.0115261809606</v>
          </cell>
          <cell r="H407">
            <v>127.79895070369028</v>
          </cell>
        </row>
        <row r="408">
          <cell r="B408" t="str">
            <v>G-INTC1</v>
          </cell>
          <cell r="C408" t="str">
            <v>VAR_ncap</v>
          </cell>
          <cell r="D408" t="str">
            <v>-</v>
          </cell>
          <cell r="E408">
            <v>3.23823306265013E-6</v>
          </cell>
          <cell r="F408">
            <v>3.1594913484714801E-6</v>
          </cell>
          <cell r="G408">
            <v>3.8788899871928699E-6</v>
          </cell>
          <cell r="H408">
            <v>5.5107860571022999E-6</v>
          </cell>
        </row>
        <row r="409">
          <cell r="B409" t="str">
            <v>G-INTC1</v>
          </cell>
          <cell r="C409" t="str">
            <v>VAR_cap</v>
          </cell>
          <cell r="D409" t="str">
            <v>-</v>
          </cell>
          <cell r="E409">
            <v>15.305609183965201</v>
          </cell>
          <cell r="F409">
            <v>15.305609183965201</v>
          </cell>
          <cell r="G409">
            <v>15.305609183965201</v>
          </cell>
          <cell r="H409">
            <v>15.305612253119003</v>
          </cell>
        </row>
        <row r="410">
          <cell r="B410" t="str">
            <v>EHYD-RUNS00</v>
          </cell>
          <cell r="C410" t="str">
            <v>VAR_fout</v>
          </cell>
          <cell r="D410" t="str">
            <v>ELC35</v>
          </cell>
          <cell r="E410">
            <v>12.240003337819086</v>
          </cell>
          <cell r="F410">
            <v>12.206073307031321</v>
          </cell>
          <cell r="G410">
            <v>12.148221363443831</v>
          </cell>
          <cell r="H410">
            <v>12.158310744388105</v>
          </cell>
        </row>
        <row r="411">
          <cell r="B411" t="str">
            <v>EHYD-RUNS00</v>
          </cell>
          <cell r="C411" t="str">
            <v>VAR_fin</v>
          </cell>
          <cell r="D411" t="str">
            <v>HYDR</v>
          </cell>
          <cell r="E411">
            <v>12.240003337819086</v>
          </cell>
          <cell r="F411">
            <v>12.206073307031321</v>
          </cell>
          <cell r="G411">
            <v>12.148221363443831</v>
          </cell>
          <cell r="H411">
            <v>12.158310744388105</v>
          </cell>
        </row>
        <row r="412">
          <cell r="B412" t="str">
            <v>EHYD-RUNS00</v>
          </cell>
          <cell r="C412" t="str">
            <v>VAR_cap</v>
          </cell>
          <cell r="D412" t="str">
            <v>-</v>
          </cell>
          <cell r="E412">
            <v>0.85785999999999896</v>
          </cell>
          <cell r="F412">
            <v>0.88297936593724102</v>
          </cell>
          <cell r="G412">
            <v>0.89707999999999899</v>
          </cell>
          <cell r="H412">
            <v>0.89707999999999899</v>
          </cell>
        </row>
        <row r="413">
          <cell r="B413" t="str">
            <v>RHNS-SHSTG-CHPWOD</v>
          </cell>
          <cell r="C413" t="str">
            <v>VAR_fout</v>
          </cell>
          <cell r="D413" t="str">
            <v>AUX_RNS-CHPWOD_OUT</v>
          </cell>
          <cell r="E413">
            <v>3.9052745678225375E-3</v>
          </cell>
          <cell r="F413">
            <v>2.1303750726874597E-3</v>
          </cell>
          <cell r="G413">
            <v>1.1656153025775258E-3</v>
          </cell>
          <cell r="H413">
            <v>2.0736708439514804E-3</v>
          </cell>
        </row>
        <row r="414">
          <cell r="B414" t="str">
            <v>RHNS-SHSTG-CHPWOD</v>
          </cell>
          <cell r="C414" t="str">
            <v>VAR_fout</v>
          </cell>
          <cell r="D414" t="str">
            <v>RHNS_LTH_CHPWOD</v>
          </cell>
          <cell r="E414">
            <v>3.9052745678225275E-3</v>
          </cell>
          <cell r="F414">
            <v>2.1317953227359115E-3</v>
          </cell>
          <cell r="G414">
            <v>1.1668294851843778E-3</v>
          </cell>
          <cell r="H414">
            <v>2.0736708439514804E-3</v>
          </cell>
        </row>
        <row r="415">
          <cell r="B415" t="str">
            <v>RHNS-SHSTG-CHPWOD</v>
          </cell>
          <cell r="C415" t="str">
            <v>VAR_fin</v>
          </cell>
          <cell r="D415" t="str">
            <v>AUX_RNS-CHPWOD_IN</v>
          </cell>
          <cell r="E415">
            <v>2.9725900404390633E-3</v>
          </cell>
          <cell r="F415">
            <v>1.5682752810215553E-3</v>
          </cell>
          <cell r="G415">
            <v>9.2529580256919884E-4</v>
          </cell>
          <cell r="H415">
            <v>1.6225510583802003E-3</v>
          </cell>
        </row>
        <row r="416">
          <cell r="B416" t="str">
            <v>RHNS-SHSTG-CHPWOD</v>
          </cell>
          <cell r="C416" t="str">
            <v>VAR_fin</v>
          </cell>
          <cell r="D416" t="str">
            <v>RHNS_LTH_CHPWOD</v>
          </cell>
          <cell r="E416">
            <v>2.9725900404390633E-3</v>
          </cell>
          <cell r="F416">
            <v>1.5682752810215553E-3</v>
          </cell>
          <cell r="G416">
            <v>9.2529580256919884E-4</v>
          </cell>
          <cell r="H416">
            <v>1.6225510583802003E-3</v>
          </cell>
        </row>
        <row r="417">
          <cell r="B417" t="str">
            <v>RHNS-SHSTG-CHPWOD</v>
          </cell>
          <cell r="C417" t="str">
            <v>VAR_ncap</v>
          </cell>
          <cell r="D417" t="str">
            <v>-</v>
          </cell>
          <cell r="E417">
            <v>2.43886534949538E-2</v>
          </cell>
          <cell r="F417">
            <v>6.0621435099557895E-4</v>
          </cell>
          <cell r="G417">
            <v>6.0527245585379602E-4</v>
          </cell>
          <cell r="H417">
            <v>3.9373889784413701E-4</v>
          </cell>
        </row>
        <row r="418">
          <cell r="B418" t="str">
            <v>RHNS-SHSTG-CHPWOD</v>
          </cell>
          <cell r="C418" t="str">
            <v>VAR_cap</v>
          </cell>
          <cell r="D418" t="str">
            <v>-</v>
          </cell>
          <cell r="E418">
            <v>2.43886534949538E-2</v>
          </cell>
          <cell r="F418">
            <v>2.4913565274836937E-2</v>
          </cell>
          <cell r="G418">
            <v>2.5257061607116004E-2</v>
          </cell>
          <cell r="H418">
            <v>2.5056350094158932E-2</v>
          </cell>
        </row>
        <row r="419">
          <cell r="B419" t="str">
            <v>HPLOIL</v>
          </cell>
          <cell r="C419" t="str">
            <v>VAR_fout</v>
          </cell>
          <cell r="D419" t="str">
            <v>LTH</v>
          </cell>
          <cell r="E419">
            <v>0.18434257993190098</v>
          </cell>
          <cell r="F419">
            <v>0.18378174247741455</v>
          </cell>
          <cell r="G419">
            <v>7.1846489861079567E-3</v>
          </cell>
          <cell r="H419">
            <v>8.9284904955794931E-3</v>
          </cell>
        </row>
        <row r="420">
          <cell r="B420" t="str">
            <v>HPLOIL</v>
          </cell>
          <cell r="C420" t="str">
            <v>VAR_fout</v>
          </cell>
          <cell r="D420" t="str">
            <v>CO2_E</v>
          </cell>
          <cell r="E420">
            <v>15.9002498251029</v>
          </cell>
          <cell r="F420">
            <v>15.8518754579821</v>
          </cell>
          <cell r="G420">
            <v>0.61970334703457797</v>
          </cell>
          <cell r="H420">
            <v>0.77011632089132298</v>
          </cell>
        </row>
        <row r="421">
          <cell r="B421" t="str">
            <v>HPLOIL</v>
          </cell>
          <cell r="C421" t="str">
            <v>VAR_fin</v>
          </cell>
          <cell r="D421" t="str">
            <v>ELFO</v>
          </cell>
          <cell r="E421">
            <v>0.21574287415336313</v>
          </cell>
          <cell r="F421">
            <v>0.2150865055357141</v>
          </cell>
          <cell r="G421">
            <v>8.4084578973484207E-3</v>
          </cell>
          <cell r="H421">
            <v>1.0449339496490144E-2</v>
          </cell>
        </row>
        <row r="422">
          <cell r="B422" t="str">
            <v>HPLOIL</v>
          </cell>
          <cell r="C422" t="str">
            <v>VAR_ncap</v>
          </cell>
          <cell r="D422" t="str">
            <v>-</v>
          </cell>
          <cell r="E422">
            <v>1.1150005054051399E-3</v>
          </cell>
          <cell r="F422">
            <v>4.4468914188027701E-4</v>
          </cell>
          <cell r="G422">
            <v>2.6384825446306901E-4</v>
          </cell>
          <cell r="H422">
            <v>4.1108453825696801E-4</v>
          </cell>
        </row>
        <row r="423">
          <cell r="B423" t="str">
            <v>HPLOIL</v>
          </cell>
          <cell r="C423" t="str">
            <v>VAR_cap</v>
          </cell>
          <cell r="D423" t="str">
            <v>-</v>
          </cell>
          <cell r="E423">
            <v>4.0478888804078704E-2</v>
          </cell>
          <cell r="F423">
            <v>3.8748935727254602E-2</v>
          </cell>
          <cell r="G423">
            <v>3.632708147144878E-2</v>
          </cell>
          <cell r="H423">
            <v>1.6885119942226821E-2</v>
          </cell>
        </row>
        <row r="424">
          <cell r="B424" t="str">
            <v>V2G</v>
          </cell>
          <cell r="C424" t="str">
            <v>VAR_fout</v>
          </cell>
          <cell r="D424" t="str">
            <v>ELC35</v>
          </cell>
          <cell r="E424"/>
          <cell r="F424"/>
          <cell r="G424"/>
          <cell r="H424">
            <v>0.33398412994859022</v>
          </cell>
        </row>
        <row r="425">
          <cell r="B425" t="str">
            <v>V2G</v>
          </cell>
          <cell r="C425" t="str">
            <v>VAR_fin</v>
          </cell>
          <cell r="D425" t="str">
            <v>T-ELC-Bus_c_BatSTGout_S1</v>
          </cell>
          <cell r="E425"/>
          <cell r="F425"/>
          <cell r="G425"/>
          <cell r="H425">
            <v>5.3602866127695718E-3</v>
          </cell>
        </row>
        <row r="426">
          <cell r="B426" t="str">
            <v>V2G</v>
          </cell>
          <cell r="C426" t="str">
            <v>VAR_fin</v>
          </cell>
          <cell r="D426" t="str">
            <v>T-ELC-Bus_c_BatSTGout_S2</v>
          </cell>
          <cell r="E426"/>
          <cell r="F426"/>
          <cell r="G426"/>
          <cell r="H426">
            <v>5.8897202003707454E-3</v>
          </cell>
        </row>
        <row r="427">
          <cell r="B427" t="str">
            <v>V2G</v>
          </cell>
          <cell r="C427" t="str">
            <v>VAR_fin</v>
          </cell>
          <cell r="D427" t="str">
            <v>T-ELC-Bus_c_BatSTGout_S3</v>
          </cell>
          <cell r="E427"/>
          <cell r="F427"/>
          <cell r="G427"/>
          <cell r="H427">
            <v>3.9071031133796731E-3</v>
          </cell>
        </row>
        <row r="428">
          <cell r="B428" t="str">
            <v>V2G</v>
          </cell>
          <cell r="C428" t="str">
            <v>VAR_fin</v>
          </cell>
          <cell r="D428" t="str">
            <v>T-ELC-Bus_c_BatSTGout_S4</v>
          </cell>
          <cell r="E428"/>
          <cell r="F428"/>
          <cell r="G428"/>
          <cell r="H428">
            <v>3.1386465613616056E-4</v>
          </cell>
        </row>
        <row r="429">
          <cell r="B429" t="str">
            <v>V2G</v>
          </cell>
          <cell r="C429" t="str">
            <v>VAR_fin</v>
          </cell>
          <cell r="D429" t="str">
            <v>T-ELC-car-BatSTGOut_S1</v>
          </cell>
          <cell r="E429"/>
          <cell r="F429"/>
          <cell r="H429">
            <v>2.9630255323443901E-2</v>
          </cell>
        </row>
        <row r="430">
          <cell r="B430" t="str">
            <v>V2G</v>
          </cell>
          <cell r="C430" t="str">
            <v>VAR_fin</v>
          </cell>
          <cell r="D430" t="str">
            <v>T-ELC-car-BatSTGOut_S2</v>
          </cell>
          <cell r="E430"/>
          <cell r="F430"/>
          <cell r="H430">
            <v>1.553689952724714E-2</v>
          </cell>
        </row>
        <row r="431">
          <cell r="B431" t="str">
            <v>V2G</v>
          </cell>
          <cell r="C431" t="str">
            <v>VAR_fin</v>
          </cell>
          <cell r="D431" t="str">
            <v>T-ELC-car-BatSTGOut_S3</v>
          </cell>
          <cell r="E431"/>
          <cell r="F431"/>
          <cell r="H431">
            <v>1.8345551839801195E-2</v>
          </cell>
        </row>
        <row r="432">
          <cell r="B432" t="str">
            <v>V2G</v>
          </cell>
          <cell r="C432" t="str">
            <v>VAR_fin</v>
          </cell>
          <cell r="D432" t="str">
            <v>T-ELC-car-BatSTGOut_S4</v>
          </cell>
          <cell r="E432"/>
          <cell r="F432"/>
          <cell r="H432">
            <v>1.3580642891104257E-2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T-ELC-car-PlgSTGOut_S1</v>
          </cell>
          <cell r="E433"/>
          <cell r="F433"/>
          <cell r="H433">
            <v>1.6656985557266919E-2</v>
          </cell>
        </row>
        <row r="434">
          <cell r="B434" t="str">
            <v>V2G</v>
          </cell>
          <cell r="C434" t="str">
            <v>VAR_fin</v>
          </cell>
          <cell r="D434" t="str">
            <v>T-ELC-car-PlgSTGOut_S2</v>
          </cell>
          <cell r="E434"/>
          <cell r="F434"/>
          <cell r="H434">
            <v>7.9802061584521855E-3</v>
          </cell>
        </row>
        <row r="435">
          <cell r="B435" t="str">
            <v>V2G</v>
          </cell>
          <cell r="C435" t="str">
            <v>VAR_fin</v>
          </cell>
          <cell r="D435" t="str">
            <v>T-ELC-car-PlgSTGOut_S3</v>
          </cell>
          <cell r="E435"/>
          <cell r="F435"/>
          <cell r="H435">
            <v>1.2393493091106373E-2</v>
          </cell>
        </row>
        <row r="436">
          <cell r="B436" t="str">
            <v>V2G</v>
          </cell>
          <cell r="C436" t="str">
            <v>VAR_fin</v>
          </cell>
          <cell r="D436" t="str">
            <v>T-ELC-TWSTGout_S1</v>
          </cell>
          <cell r="E436"/>
          <cell r="F436"/>
          <cell r="G436"/>
          <cell r="H436">
            <v>2.4366208336898877E-2</v>
          </cell>
        </row>
        <row r="437">
          <cell r="B437" t="str">
            <v>V2G</v>
          </cell>
          <cell r="C437" t="str">
            <v>VAR_fin</v>
          </cell>
          <cell r="D437" t="str">
            <v>T-ELC-car-PlgSTGOut_S4</v>
          </cell>
          <cell r="E437"/>
          <cell r="F437"/>
          <cell r="G437"/>
          <cell r="H437">
            <v>4.955939579320277E-3</v>
          </cell>
        </row>
        <row r="438">
          <cell r="B438" t="str">
            <v>V2G</v>
          </cell>
          <cell r="C438" t="str">
            <v>VAR_fin</v>
          </cell>
          <cell r="D438" t="str">
            <v>T-ELC-TWSTGout_S2</v>
          </cell>
          <cell r="E438"/>
          <cell r="F438"/>
          <cell r="G438"/>
          <cell r="H438">
            <v>3.8529338781174899E-2</v>
          </cell>
        </row>
        <row r="439">
          <cell r="B439" t="str">
            <v>V2G</v>
          </cell>
          <cell r="C439" t="str">
            <v>VAR_fin</v>
          </cell>
          <cell r="D439" t="str">
            <v>T-ELC-TWSTGout_S3</v>
          </cell>
          <cell r="E439"/>
          <cell r="F439"/>
          <cell r="G439"/>
          <cell r="H439">
            <v>4.4210748439268074E-2</v>
          </cell>
        </row>
        <row r="440">
          <cell r="B440" t="str">
            <v>V2G</v>
          </cell>
          <cell r="C440" t="str">
            <v>VAR_fin</v>
          </cell>
          <cell r="D440" t="str">
            <v>T-ELC-TWSTGout_S4</v>
          </cell>
          <cell r="E440"/>
          <cell r="F440"/>
          <cell r="G440"/>
          <cell r="H440">
            <v>4.4236925766140314E-2</v>
          </cell>
        </row>
        <row r="441">
          <cell r="B441" t="str">
            <v>V2G</v>
          </cell>
          <cell r="C441" t="str">
            <v>VAR_fin</v>
          </cell>
          <cell r="D441" t="str">
            <v>T-ELC-Bus_u_BatSTGout_S1</v>
          </cell>
          <cell r="E441"/>
          <cell r="F441"/>
          <cell r="G441"/>
          <cell r="H441">
            <v>5.554519345295536E-3</v>
          </cell>
        </row>
        <row r="442">
          <cell r="B442" t="str">
            <v>V2G</v>
          </cell>
          <cell r="C442" t="str">
            <v>VAR_fin</v>
          </cell>
          <cell r="D442" t="str">
            <v>T-ELC-Bus_u_BatSTGout_S2</v>
          </cell>
          <cell r="E442"/>
          <cell r="F442"/>
          <cell r="G442"/>
          <cell r="H442">
            <v>4.6917842242124265E-3</v>
          </cell>
        </row>
        <row r="443">
          <cell r="B443" t="str">
            <v>V2G</v>
          </cell>
          <cell r="C443" t="str">
            <v>VAR_fin</v>
          </cell>
          <cell r="D443" t="str">
            <v>T-ELC-Bus_u_BatSTGout_S3</v>
          </cell>
          <cell r="E443"/>
          <cell r="F443"/>
          <cell r="G443"/>
          <cell r="H443">
            <v>1.8898175329798838E-3</v>
          </cell>
        </row>
        <row r="444">
          <cell r="B444" t="str">
            <v>V2G</v>
          </cell>
          <cell r="C444" t="str">
            <v>VAR_fin</v>
          </cell>
          <cell r="D444" t="str">
            <v>T-ELC-Bus_u_BatSTGout_S4</v>
          </cell>
          <cell r="E444"/>
          <cell r="F444"/>
          <cell r="G444"/>
          <cell r="H444">
            <v>2.5668248014014887E-3</v>
          </cell>
        </row>
        <row r="445">
          <cell r="B445" t="str">
            <v>V2G</v>
          </cell>
          <cell r="C445" t="str">
            <v>VAR_fin</v>
          </cell>
          <cell r="D445" t="str">
            <v>T-ELC-LGV_BatSTGout</v>
          </cell>
          <cell r="E445"/>
          <cell r="F445"/>
          <cell r="G445"/>
          <cell r="H445">
            <v>1.5848750095060937E-2</v>
          </cell>
        </row>
        <row r="446">
          <cell r="B446" t="str">
            <v>V2G</v>
          </cell>
          <cell r="C446" t="str">
            <v>VAR_fin</v>
          </cell>
          <cell r="D446" t="str">
            <v>T-ELC-HGV_BatSTGout</v>
          </cell>
          <cell r="E446"/>
          <cell r="F446"/>
          <cell r="G446"/>
          <cell r="H446">
            <v>1.9643835486026356E-2</v>
          </cell>
        </row>
        <row r="447">
          <cell r="B447" t="str">
            <v>V2G</v>
          </cell>
          <cell r="C447" t="str">
            <v>VAR_ncap</v>
          </cell>
          <cell r="D447" t="str">
            <v>-</v>
          </cell>
          <cell r="H447">
            <v>0.104299787365392</v>
          </cell>
        </row>
        <row r="448">
          <cell r="B448" t="str">
            <v>V2G</v>
          </cell>
          <cell r="C448" t="str">
            <v>VAR_cap</v>
          </cell>
          <cell r="D448" t="str">
            <v>-</v>
          </cell>
          <cell r="H448">
            <v>0.104299787365392</v>
          </cell>
        </row>
        <row r="449">
          <cell r="B449" t="str">
            <v>D-EBIO</v>
          </cell>
          <cell r="C449" t="str">
            <v>VAR_fout</v>
          </cell>
          <cell r="D449" t="str">
            <v>EBIO</v>
          </cell>
          <cell r="E449">
            <v>1.1840860449880417</v>
          </cell>
          <cell r="F449">
            <v>1.1840191929471144</v>
          </cell>
          <cell r="G449">
            <v>1.1840291827246885</v>
          </cell>
          <cell r="H449">
            <v>1.1840199951870698</v>
          </cell>
        </row>
        <row r="450">
          <cell r="B450" t="str">
            <v>D-EBIO</v>
          </cell>
          <cell r="C450" t="str">
            <v>VAR_fin</v>
          </cell>
          <cell r="D450" t="str">
            <v>BIO</v>
          </cell>
          <cell r="E450">
            <v>1.1840860449880417</v>
          </cell>
          <cell r="F450">
            <v>1.1840191929471144</v>
          </cell>
          <cell r="G450">
            <v>1.1840291827246885</v>
          </cell>
          <cell r="H450">
            <v>1.1840199951870698</v>
          </cell>
        </row>
        <row r="451">
          <cell r="B451" t="str">
            <v>G-INTC3</v>
          </cell>
          <cell r="C451" t="str">
            <v>VAR_fout</v>
          </cell>
          <cell r="D451" t="str">
            <v>ELC35</v>
          </cell>
          <cell r="E451">
            <v>154.0680542102005</v>
          </cell>
          <cell r="F451">
            <v>106.74454188129475</v>
          </cell>
          <cell r="G451">
            <v>97.051307406224723</v>
          </cell>
          <cell r="H451">
            <v>121.50215420257061</v>
          </cell>
        </row>
        <row r="452">
          <cell r="B452" t="str">
            <v>G-INTC3</v>
          </cell>
          <cell r="C452" t="str">
            <v>VAR_fout</v>
          </cell>
          <cell r="D452" t="str">
            <v>ELC3</v>
          </cell>
          <cell r="E452">
            <v>35.744846334344388</v>
          </cell>
          <cell r="F452">
            <v>68.830937032408272</v>
          </cell>
          <cell r="G452">
            <v>69.147971347547454</v>
          </cell>
          <cell r="H452">
            <v>49.734625670912891</v>
          </cell>
        </row>
        <row r="453">
          <cell r="B453" t="str">
            <v>G-INTC3</v>
          </cell>
          <cell r="C453" t="str">
            <v>VAR_fout</v>
          </cell>
          <cell r="D453" t="str">
            <v>ELC</v>
          </cell>
          <cell r="E453">
            <v>0.48105636536437174</v>
          </cell>
          <cell r="F453">
            <v>5.2071408804863363E-2</v>
          </cell>
          <cell r="G453">
            <v>6.0150099689221068E-2</v>
          </cell>
          <cell r="H453">
            <v>9.2789527884374237E-2</v>
          </cell>
        </row>
        <row r="454">
          <cell r="B454" t="str">
            <v>G-INTC3</v>
          </cell>
          <cell r="C454" t="str">
            <v>VAR_fin</v>
          </cell>
          <cell r="D454" t="str">
            <v>ELC13</v>
          </cell>
          <cell r="E454">
            <v>194.28026472484586</v>
          </cell>
          <cell r="F454">
            <v>183.90430744661418</v>
          </cell>
          <cell r="G454">
            <v>173.5225856749166</v>
          </cell>
          <cell r="H454">
            <v>177.84039617761269</v>
          </cell>
        </row>
        <row r="455">
          <cell r="B455" t="str">
            <v>G-INTC3</v>
          </cell>
          <cell r="C455" t="str">
            <v>VAR_ncap</v>
          </cell>
          <cell r="D455" t="str">
            <v>-</v>
          </cell>
          <cell r="E455">
            <v>1.30913276475336E-5</v>
          </cell>
          <cell r="F455">
            <v>1.28281350038763E-5</v>
          </cell>
          <cell r="G455">
            <v>1.15879455289294E-5</v>
          </cell>
          <cell r="H455">
            <v>8.1837412369978804E-6</v>
          </cell>
        </row>
        <row r="456">
          <cell r="B456" t="str">
            <v>G-INTC3</v>
          </cell>
          <cell r="C456" t="str">
            <v>VAR_cap</v>
          </cell>
          <cell r="D456" t="str">
            <v>-</v>
          </cell>
          <cell r="E456">
            <v>13.914190167241101</v>
          </cell>
          <cell r="F456">
            <v>13.914190167241101</v>
          </cell>
          <cell r="G456">
            <v>13.914190167241101</v>
          </cell>
          <cell r="H456">
            <v>13.91420259749529</v>
          </cell>
        </row>
        <row r="457">
          <cell r="B457" t="str">
            <v>HPLBIO</v>
          </cell>
          <cell r="C457" t="str">
            <v>VAR_fout</v>
          </cell>
          <cell r="D457" t="str">
            <v>LTH</v>
          </cell>
          <cell r="E457">
            <v>0.90187791691648245</v>
          </cell>
          <cell r="F457">
            <v>0.90182699799917021</v>
          </cell>
          <cell r="G457">
            <v>0.90183460687170802</v>
          </cell>
          <cell r="H457">
            <v>0.90182760903795767</v>
          </cell>
        </row>
        <row r="458">
          <cell r="B458" t="str">
            <v>HPLBIO</v>
          </cell>
          <cell r="C458" t="str">
            <v>VAR_fin</v>
          </cell>
          <cell r="D458" t="str">
            <v>EBIO</v>
          </cell>
          <cell r="E458">
            <v>1.1840860449880417</v>
          </cell>
          <cell r="F458">
            <v>1.1840191929471144</v>
          </cell>
          <cell r="G458">
            <v>1.1840291827246885</v>
          </cell>
          <cell r="H458">
            <v>1.1840199951870698</v>
          </cell>
        </row>
        <row r="459">
          <cell r="B459" t="str">
            <v>HPLBIO</v>
          </cell>
          <cell r="C459" t="str">
            <v>VAR_ncap</v>
          </cell>
          <cell r="D459" t="str">
            <v>-</v>
          </cell>
          <cell r="E459">
            <v>1.5089989884693501E-3</v>
          </cell>
          <cell r="F459">
            <v>3.9204302327460502E-4</v>
          </cell>
          <cell r="G459">
            <v>2.2615877246638099E-4</v>
          </cell>
          <cell r="H459">
            <v>6.1483539196504497E-2</v>
          </cell>
        </row>
        <row r="460">
          <cell r="B460" t="str">
            <v>HPLBIO</v>
          </cell>
          <cell r="C460" t="str">
            <v>VAR_cap</v>
          </cell>
          <cell r="D460" t="str">
            <v>-</v>
          </cell>
          <cell r="E460">
            <v>0.11585053691373044</v>
          </cell>
          <cell r="F460">
            <v>0.11615473269838682</v>
          </cell>
          <cell r="G460">
            <v>0.11626105394686093</v>
          </cell>
          <cell r="H460">
            <v>0.11461881875541899</v>
          </cell>
        </row>
        <row r="461">
          <cell r="B461" t="str">
            <v>G-INTC5</v>
          </cell>
          <cell r="C461" t="str">
            <v>VAR_fout</v>
          </cell>
          <cell r="D461" t="str">
            <v>ELC5</v>
          </cell>
          <cell r="E461">
            <v>153.89792328346465</v>
          </cell>
          <cell r="F461">
            <v>120.59470784181894</v>
          </cell>
          <cell r="G461">
            <v>110.88105930998775</v>
          </cell>
          <cell r="H461">
            <v>131.11045331063224</v>
          </cell>
        </row>
        <row r="462">
          <cell r="B462" t="str">
            <v>G-INTC5</v>
          </cell>
          <cell r="C462" t="str">
            <v>VAR_fout</v>
          </cell>
          <cell r="D462" t="str">
            <v>ELC13</v>
          </cell>
          <cell r="E462">
            <v>14.426721831838719</v>
          </cell>
          <cell r="F462">
            <v>4.6439007007962926E-2</v>
          </cell>
          <cell r="G462">
            <v>5.0580548061576046E-2</v>
          </cell>
          <cell r="H462">
            <v>0.13915785599850045</v>
          </cell>
        </row>
        <row r="463">
          <cell r="B463" t="str">
            <v>G-INTC5</v>
          </cell>
          <cell r="C463" t="str">
            <v>VAR_fin</v>
          </cell>
          <cell r="D463" t="str">
            <v>ELC35</v>
          </cell>
          <cell r="E463">
            <v>173.64095687884006</v>
          </cell>
          <cell r="F463">
            <v>126.34662675030435</v>
          </cell>
          <cell r="G463">
            <v>115.92570766619637</v>
          </cell>
          <cell r="H463">
            <v>136.66399112143117</v>
          </cell>
        </row>
        <row r="464">
          <cell r="B464" t="str">
            <v>G-INTC5</v>
          </cell>
          <cell r="C464" t="str">
            <v>VAR_ncap</v>
          </cell>
          <cell r="D464" t="str">
            <v>-</v>
          </cell>
          <cell r="E464">
            <v>8.4832294474486005E-5</v>
          </cell>
          <cell r="F464">
            <v>7.8564853356731106E-5</v>
          </cell>
          <cell r="G464">
            <v>9.3596414338689501E-5</v>
          </cell>
          <cell r="H464">
            <v>2.04188827632772</v>
          </cell>
        </row>
        <row r="465">
          <cell r="B465" t="str">
            <v>G-INTC5</v>
          </cell>
          <cell r="C465" t="str">
            <v>VAR_cap</v>
          </cell>
          <cell r="D465" t="str">
            <v>-</v>
          </cell>
          <cell r="E465">
            <v>12.649263788401001</v>
          </cell>
          <cell r="F465">
            <v>12.649263788401001</v>
          </cell>
          <cell r="G465">
            <v>12.649263788401001</v>
          </cell>
          <cell r="H465">
            <v>12.649342477894383</v>
          </cell>
        </row>
        <row r="466">
          <cell r="B466" t="str">
            <v>D-SLFO</v>
          </cell>
          <cell r="C466" t="str">
            <v>VAR_fout</v>
          </cell>
          <cell r="D466" t="str">
            <v>CO2</v>
          </cell>
          <cell r="E466">
            <v>2267.7920244305801</v>
          </cell>
          <cell r="F466">
            <v>1933.6967713973099</v>
          </cell>
          <cell r="G466">
            <v>1957.23968949714</v>
          </cell>
          <cell r="H466">
            <v>1160.40081782383</v>
          </cell>
        </row>
        <row r="467">
          <cell r="B467" t="str">
            <v>D-SLFO</v>
          </cell>
          <cell r="C467" t="str">
            <v>VAR_fout</v>
          </cell>
          <cell r="D467" t="str">
            <v>SLFO</v>
          </cell>
          <cell r="E467">
            <v>30.256679168903222</v>
          </cell>
          <cell r="F467">
            <v>25.799210065042509</v>
          </cell>
          <cell r="G467">
            <v>26.114252197428314</v>
          </cell>
          <cell r="H467">
            <v>15.489299762393747</v>
          </cell>
        </row>
        <row r="468">
          <cell r="B468" t="str">
            <v>D-SLFO</v>
          </cell>
          <cell r="C468" t="str">
            <v>VAR_fin</v>
          </cell>
          <cell r="D468" t="str">
            <v>LFO</v>
          </cell>
          <cell r="E468">
            <v>30.770583777891158</v>
          </cell>
          <cell r="F468">
            <v>26.237405310682689</v>
          </cell>
          <cell r="G468">
            <v>26.556847890056115</v>
          </cell>
          <cell r="H468">
            <v>15.744922901273103</v>
          </cell>
        </row>
        <row r="469">
          <cell r="B469" t="str">
            <v>D-SLFO</v>
          </cell>
          <cell r="C469" t="str">
            <v>VAR_fin</v>
          </cell>
          <cell r="D469" t="str">
            <v>BDS</v>
          </cell>
          <cell r="G469">
            <v>9.5317539077009793E-4</v>
          </cell>
          <cell r="H469">
            <v>7.4854263886987692E-3</v>
          </cell>
        </row>
        <row r="470">
          <cell r="B470" t="str">
            <v>D-RCOA</v>
          </cell>
          <cell r="C470" t="str">
            <v>VAR_fout</v>
          </cell>
          <cell r="D470" t="str">
            <v>CO2</v>
          </cell>
          <cell r="E470">
            <v>9.2728601039877496</v>
          </cell>
          <cell r="F470">
            <v>9.2711067197275501</v>
          </cell>
          <cell r="G470">
            <v>2.5001913696749498</v>
          </cell>
          <cell r="H470">
            <v>2.2053707618221001E-2</v>
          </cell>
        </row>
        <row r="471">
          <cell r="B471" t="str">
            <v>D-RCOA</v>
          </cell>
          <cell r="C471" t="str">
            <v>VAR_fout</v>
          </cell>
          <cell r="D471" t="str">
            <v>RCOA</v>
          </cell>
          <cell r="E471">
            <v>0.10003085333320115</v>
          </cell>
          <cell r="F471">
            <v>0.10001193872413756</v>
          </cell>
          <cell r="G471">
            <v>2.6970780686892657E-2</v>
          </cell>
          <cell r="H471">
            <v>2.3790407355146724E-4</v>
          </cell>
        </row>
        <row r="472">
          <cell r="B472" t="str">
            <v>D-RCOA</v>
          </cell>
          <cell r="C472" t="str">
            <v>VAR_fin</v>
          </cell>
          <cell r="D472" t="str">
            <v>COA</v>
          </cell>
          <cell r="E472">
            <v>0.10003085333320115</v>
          </cell>
          <cell r="F472">
            <v>0.10001193872413756</v>
          </cell>
          <cell r="G472">
            <v>2.6970780686892657E-2</v>
          </cell>
          <cell r="H472">
            <v>2.3790407355146724E-4</v>
          </cell>
        </row>
        <row r="473">
          <cell r="B473" t="str">
            <v>EHYD-RUN00</v>
          </cell>
          <cell r="C473" t="str">
            <v>VAR_fout</v>
          </cell>
          <cell r="D473" t="str">
            <v>ELC13</v>
          </cell>
          <cell r="E473">
            <v>54.392427528838581</v>
          </cell>
          <cell r="F473">
            <v>43.446291626133736</v>
          </cell>
          <cell r="G473">
            <v>53.243279841655301</v>
          </cell>
          <cell r="H473">
            <v>52.150433417890838</v>
          </cell>
        </row>
        <row r="474">
          <cell r="B474" t="str">
            <v>EHYD-RUN00</v>
          </cell>
          <cell r="C474" t="str">
            <v>VAR_fin</v>
          </cell>
          <cell r="D474" t="str">
            <v>HYDR</v>
          </cell>
          <cell r="E474">
            <v>54.392427528838581</v>
          </cell>
          <cell r="F474">
            <v>43.446291626133736</v>
          </cell>
          <cell r="G474">
            <v>53.243279841655301</v>
          </cell>
          <cell r="H474">
            <v>52.150433417890838</v>
          </cell>
        </row>
        <row r="475">
          <cell r="B475" t="str">
            <v>EHYD-RUN00</v>
          </cell>
          <cell r="C475" t="str">
            <v>VAR_cap</v>
          </cell>
          <cell r="D475" t="str">
            <v>-</v>
          </cell>
          <cell r="E475">
            <v>3.86687</v>
          </cell>
          <cell r="F475">
            <v>3.9240852000672399</v>
          </cell>
          <cell r="G475">
            <v>3.9610124303882599</v>
          </cell>
          <cell r="H475">
            <v>3.9647700000000001</v>
          </cell>
        </row>
        <row r="476">
          <cell r="B476" t="str">
            <v>HPLELCHP</v>
          </cell>
          <cell r="C476" t="str">
            <v>VAR_fout</v>
          </cell>
          <cell r="D476" t="str">
            <v>LTH</v>
          </cell>
          <cell r="F476">
            <v>4.1398524482292398</v>
          </cell>
          <cell r="G476">
            <v>4.2653255612942047</v>
          </cell>
          <cell r="H476">
            <v>11.51943336264898</v>
          </cell>
        </row>
        <row r="477">
          <cell r="B477" t="str">
            <v>HPLELCHP</v>
          </cell>
          <cell r="C477" t="str">
            <v>VAR_fin</v>
          </cell>
          <cell r="D477" t="str">
            <v>ELC35</v>
          </cell>
          <cell r="F477">
            <v>1.3799508160764142</v>
          </cell>
          <cell r="G477">
            <v>1.4217751870980675</v>
          </cell>
          <cell r="H477">
            <v>3.8398111208829926</v>
          </cell>
        </row>
        <row r="478">
          <cell r="B478" t="str">
            <v>HPLELCHP</v>
          </cell>
          <cell r="C478" t="str">
            <v>VAR_fin</v>
          </cell>
          <cell r="D478" t="str">
            <v>WWTPCC</v>
          </cell>
          <cell r="F478">
            <v>8.2797048964584796</v>
          </cell>
          <cell r="G478">
            <v>8.5306511225884094</v>
          </cell>
          <cell r="H478">
            <v>23.038866725298</v>
          </cell>
        </row>
        <row r="479">
          <cell r="B479" t="str">
            <v>HPLELCHP</v>
          </cell>
          <cell r="C479" t="str">
            <v>VAR_ncap</v>
          </cell>
          <cell r="D479" t="str">
            <v>-</v>
          </cell>
          <cell r="F479">
            <v>0.25602297966626397</v>
          </cell>
          <cell r="G479">
            <v>7.8034785782144902E-3</v>
          </cell>
          <cell r="H479">
            <v>0.44619696356321298</v>
          </cell>
        </row>
        <row r="480">
          <cell r="B480" t="str">
            <v>HPLELCHP</v>
          </cell>
          <cell r="C480" t="str">
            <v>VAR_cap</v>
          </cell>
          <cell r="D480" t="str">
            <v>-</v>
          </cell>
          <cell r="F480">
            <v>0.25602297966626397</v>
          </cell>
          <cell r="G480">
            <v>0.26381878566234018</v>
          </cell>
          <cell r="H480">
            <v>0.71000311833732888</v>
          </cell>
        </row>
        <row r="481">
          <cell r="B481" t="str">
            <v>D-ITOT_LTH</v>
          </cell>
          <cell r="C481" t="str">
            <v>VAR_fout</v>
          </cell>
          <cell r="D481" t="str">
            <v>ITOT_LTH_DH</v>
          </cell>
          <cell r="E481">
            <v>7.1202094790041857</v>
          </cell>
          <cell r="F481">
            <v>7.6289546232497099</v>
          </cell>
          <cell r="G481">
            <v>7.6289456009858734</v>
          </cell>
          <cell r="H481">
            <v>7.6290252733156585</v>
          </cell>
        </row>
        <row r="482">
          <cell r="B482" t="str">
            <v>D-ITOT_LTH</v>
          </cell>
          <cell r="C482" t="str">
            <v>VAR_fin</v>
          </cell>
          <cell r="D482" t="str">
            <v>LTH</v>
          </cell>
          <cell r="E482">
            <v>7.7405634205725988</v>
          </cell>
          <cell r="F482">
            <v>8.2914537249965665</v>
          </cell>
          <cell r="G482">
            <v>8.2881765697366596</v>
          </cell>
          <cell r="H482">
            <v>8.282823206030379</v>
          </cell>
        </row>
        <row r="483">
          <cell r="B483" t="str">
            <v>D-ITOT_LTH</v>
          </cell>
          <cell r="C483" t="str">
            <v>VAR_ncap</v>
          </cell>
          <cell r="D483" t="str">
            <v>-</v>
          </cell>
          <cell r="E483">
            <v>0.79547978136727204</v>
          </cell>
          <cell r="F483">
            <v>2.0011936391865699E-6</v>
          </cell>
          <cell r="G483">
            <v>2.2673591661852101E-6</v>
          </cell>
          <cell r="H483">
            <v>2.5860812663031202E-6</v>
          </cell>
        </row>
        <row r="484">
          <cell r="B484" t="str">
            <v>D-ITOT_LTH</v>
          </cell>
          <cell r="C484" t="str">
            <v>VAR_cap</v>
          </cell>
          <cell r="D484" t="str">
            <v>-</v>
          </cell>
          <cell r="E484">
            <v>0.79547978136727204</v>
          </cell>
          <cell r="F484">
            <v>0.79548178256091195</v>
          </cell>
          <cell r="G484">
            <v>0.79548404992007804</v>
          </cell>
          <cell r="H484">
            <v>0.79548663600134395</v>
          </cell>
        </row>
        <row r="485">
          <cell r="B485" t="str">
            <v>D-IH2</v>
          </cell>
          <cell r="C485" t="str">
            <v>VAR_fout</v>
          </cell>
          <cell r="D485" t="str">
            <v>IH2</v>
          </cell>
        </row>
        <row r="486">
          <cell r="B486" t="str">
            <v>D-IH2</v>
          </cell>
          <cell r="C486" t="str">
            <v>VAR_fin</v>
          </cell>
          <cell r="D486" t="str">
            <v>H2</v>
          </cell>
        </row>
        <row r="487">
          <cell r="B487" t="str">
            <v>D-IH2</v>
          </cell>
          <cell r="C487" t="str">
            <v>VAR_ncap</v>
          </cell>
          <cell r="D487" t="str">
            <v>-</v>
          </cell>
          <cell r="H487">
            <v>1.4036171507022399E-5</v>
          </cell>
        </row>
        <row r="488">
          <cell r="B488" t="str">
            <v>D-IH2</v>
          </cell>
          <cell r="C488" t="str">
            <v>VAR_cap</v>
          </cell>
          <cell r="D488" t="str">
            <v>-</v>
          </cell>
          <cell r="H488">
            <v>1.4036171507022399E-5</v>
          </cell>
        </row>
        <row r="489">
          <cell r="B489" t="str">
            <v>RHEM-ESOLPV</v>
          </cell>
          <cell r="C489" t="str">
            <v>VAR_fout</v>
          </cell>
          <cell r="D489" t="str">
            <v>RHEM_SOL_ELC</v>
          </cell>
          <cell r="E489">
            <v>0.86248322578584768</v>
          </cell>
          <cell r="F489">
            <v>1.2875876906677814</v>
          </cell>
          <cell r="G489">
            <v>1.5483453381811019</v>
          </cell>
          <cell r="H489">
            <v>1.6856708968477607</v>
          </cell>
        </row>
        <row r="490">
          <cell r="B490" t="str">
            <v>RHEM-ESOLPV</v>
          </cell>
          <cell r="C490" t="str">
            <v>VAR_fin</v>
          </cell>
          <cell r="D490" t="str">
            <v>SOL</v>
          </cell>
          <cell r="E490">
            <v>0.86248322578584768</v>
          </cell>
          <cell r="F490">
            <v>1.2875876906677814</v>
          </cell>
          <cell r="G490">
            <v>1.5483453381811019</v>
          </cell>
          <cell r="H490">
            <v>1.6856708968477607</v>
          </cell>
        </row>
        <row r="491">
          <cell r="B491" t="str">
            <v>RHEM-ESOLPV</v>
          </cell>
          <cell r="C491" t="str">
            <v>VAR_fin</v>
          </cell>
          <cell r="D491" t="str">
            <v>SOLPVC</v>
          </cell>
          <cell r="E491">
            <v>0.86248322578584802</v>
          </cell>
          <cell r="F491">
            <v>1.2875876906677799</v>
          </cell>
          <cell r="G491">
            <v>1.5483453381811001</v>
          </cell>
          <cell r="H491">
            <v>1.6856708968477601</v>
          </cell>
        </row>
        <row r="492">
          <cell r="B492" t="str">
            <v>RHEM-ESOLPV</v>
          </cell>
          <cell r="C492" t="str">
            <v>VAR_ncap</v>
          </cell>
          <cell r="D492" t="str">
            <v>-</v>
          </cell>
          <cell r="F492">
            <v>1.74454428910271E-6</v>
          </cell>
          <cell r="G492">
            <v>1.08696162921615E-2</v>
          </cell>
          <cell r="H492">
            <v>3.6423291917216001E-3</v>
          </cell>
        </row>
        <row r="493">
          <cell r="B493" t="str">
            <v>RHEM-ESOLPV</v>
          </cell>
          <cell r="C493" t="str">
            <v>VAR_cap</v>
          </cell>
          <cell r="D493" t="str">
            <v>-</v>
          </cell>
          <cell r="E493">
            <v>0.27424799999999999</v>
          </cell>
          <cell r="F493">
            <v>0.43894706202070211</v>
          </cell>
          <cell r="G493">
            <v>0.49401936083645059</v>
          </cell>
          <cell r="H493">
            <v>0.48593690228765424</v>
          </cell>
        </row>
        <row r="494">
          <cell r="B494" t="str">
            <v>HPLNUC</v>
          </cell>
          <cell r="C494" t="str">
            <v>VAR_fout</v>
          </cell>
          <cell r="D494" t="str">
            <v>LTH</v>
          </cell>
          <cell r="E494">
            <v>1.4503484521851611</v>
          </cell>
          <cell r="F494">
            <v>3.8005723339729314</v>
          </cell>
          <cell r="G494">
            <v>3.7610156438209685</v>
          </cell>
          <cell r="H494">
            <v>1.0653320352998967</v>
          </cell>
        </row>
        <row r="495">
          <cell r="B495" t="str">
            <v>HPLNUC</v>
          </cell>
          <cell r="C495" t="str">
            <v>VAR_fin</v>
          </cell>
          <cell r="D495" t="str">
            <v>URN</v>
          </cell>
          <cell r="E495">
            <v>1.4503484521851611</v>
          </cell>
          <cell r="F495">
            <v>3.8005723339729314</v>
          </cell>
          <cell r="G495">
            <v>3.7610156438209685</v>
          </cell>
          <cell r="H495">
            <v>1.0653320352998967</v>
          </cell>
        </row>
        <row r="496">
          <cell r="B496" t="str">
            <v>HPLNUC</v>
          </cell>
          <cell r="C496" t="str">
            <v>VAR_cap</v>
          </cell>
          <cell r="D496" t="str">
            <v>-</v>
          </cell>
          <cell r="E496">
            <v>0.120558721922211</v>
          </cell>
          <cell r="F496">
            <v>0.120558721922211</v>
          </cell>
          <cell r="G496">
            <v>0.120558721922211</v>
          </cell>
          <cell r="H496">
            <v>0.11197225056919</v>
          </cell>
        </row>
        <row r="497">
          <cell r="B497" t="str">
            <v>ITOT-CHPWODCCS</v>
          </cell>
          <cell r="C497" t="str">
            <v>VAR_fout</v>
          </cell>
          <cell r="D497" t="str">
            <v>CO2_O</v>
          </cell>
        </row>
        <row r="498">
          <cell r="B498" t="str">
            <v>ITOT-CHPWODCCS</v>
          </cell>
          <cell r="C498" t="str">
            <v>VAR_fout</v>
          </cell>
          <cell r="D498" t="str">
            <v>CO2</v>
          </cell>
        </row>
        <row r="499">
          <cell r="B499" t="str">
            <v>ITOT-CHPWODCCS</v>
          </cell>
          <cell r="C499" t="str">
            <v>VAR_fout</v>
          </cell>
          <cell r="D499" t="str">
            <v>ITOT_LTH_CHP</v>
          </cell>
        </row>
        <row r="500">
          <cell r="B500" t="str">
            <v>ITOT-CHPWODCCS</v>
          </cell>
          <cell r="C500" t="str">
            <v>VAR_fout</v>
          </cell>
          <cell r="D500" t="str">
            <v>ITOT_KEV_WOD_ELC_CHP</v>
          </cell>
        </row>
        <row r="501">
          <cell r="B501" t="str">
            <v>ITOT-CHPWODCCS</v>
          </cell>
          <cell r="C501" t="str">
            <v>VAR_fin</v>
          </cell>
          <cell r="D501" t="str">
            <v>IWOD</v>
          </cell>
        </row>
        <row r="502">
          <cell r="B502" t="str">
            <v>ITOT-CHPWODCCS</v>
          </cell>
          <cell r="C502" t="str">
            <v>VAR_ncap</v>
          </cell>
          <cell r="D502" t="str">
            <v>-</v>
          </cell>
        </row>
        <row r="503">
          <cell r="B503" t="str">
            <v>ITOT-CHPWODCCS</v>
          </cell>
          <cell r="C503" t="str">
            <v>VAR_cap</v>
          </cell>
          <cell r="D503" t="str">
            <v>-</v>
          </cell>
        </row>
        <row r="504">
          <cell r="B504" t="str">
            <v>SUP_WODBIO</v>
          </cell>
          <cell r="C504" t="str">
            <v>VAR_fout</v>
          </cell>
          <cell r="D504" t="str">
            <v>ELC35</v>
          </cell>
          <cell r="F504">
            <v>1.8328472478563364E-4</v>
          </cell>
          <cell r="G504">
            <v>8.2850718410027737E-5</v>
          </cell>
          <cell r="H504">
            <v>2.7061888861310462E-4</v>
          </cell>
        </row>
        <row r="505">
          <cell r="B505" t="str">
            <v>SUP_WODBIO</v>
          </cell>
          <cell r="C505" t="str">
            <v>VAR_fout</v>
          </cell>
          <cell r="D505" t="str">
            <v>BIO</v>
          </cell>
          <cell r="F505">
            <v>4.5821181196408333E-3</v>
          </cell>
          <cell r="G505">
            <v>2.0712679602506927E-3</v>
          </cell>
          <cell r="H505">
            <v>6.7654722153275993E-3</v>
          </cell>
        </row>
        <row r="506">
          <cell r="B506" t="str">
            <v>SUP_WODBIO</v>
          </cell>
          <cell r="C506" t="str">
            <v>VAR_fout</v>
          </cell>
          <cell r="D506" t="str">
            <v>LTH</v>
          </cell>
          <cell r="F506">
            <v>5.4985417435690089E-4</v>
          </cell>
          <cell r="G506">
            <v>2.4855215523008283E-4</v>
          </cell>
          <cell r="H506">
            <v>8.1185666583931209E-4</v>
          </cell>
        </row>
        <row r="507">
          <cell r="B507" t="str">
            <v>SUP_WODBIO</v>
          </cell>
          <cell r="C507" t="str">
            <v>VAR_fin</v>
          </cell>
          <cell r="D507" t="str">
            <v>CWOD</v>
          </cell>
          <cell r="F507">
            <v>6.1858594615151257E-3</v>
          </cell>
          <cell r="G507">
            <v>2.7962117463384306E-3</v>
          </cell>
          <cell r="H507">
            <v>9.1333874906922713E-3</v>
          </cell>
        </row>
        <row r="508">
          <cell r="B508" t="str">
            <v>SUP_WODBIO</v>
          </cell>
          <cell r="C508" t="str">
            <v>VAR_ncap</v>
          </cell>
          <cell r="D508" t="str">
            <v>-</v>
          </cell>
          <cell r="E508">
            <v>1.6210554757487498E-5</v>
          </cell>
          <cell r="F508">
            <v>6.2400521432721696E-4</v>
          </cell>
          <cell r="G508">
            <v>2.9688482860222198E-5</v>
          </cell>
          <cell r="H508">
            <v>1.06869260853491E-5</v>
          </cell>
        </row>
        <row r="509">
          <cell r="B509" t="str">
            <v>SUP_WODBIO</v>
          </cell>
          <cell r="C509" t="str">
            <v>VAR_cap</v>
          </cell>
          <cell r="D509" t="str">
            <v>-</v>
          </cell>
          <cell r="E509">
            <v>1.6210554757487498E-5</v>
          </cell>
          <cell r="F509">
            <v>6.3860374680141071E-4</v>
          </cell>
          <cell r="G509">
            <v>6.6402033593582742E-4</v>
          </cell>
          <cell r="H509">
            <v>6.7125995242248832E-4</v>
          </cell>
        </row>
        <row r="510">
          <cell r="B510" t="str">
            <v>D-RLFO</v>
          </cell>
          <cell r="C510" t="str">
            <v>VAR_fout</v>
          </cell>
          <cell r="D510" t="str">
            <v>CO2</v>
          </cell>
          <cell r="E510">
            <v>4514.5291404127502</v>
          </cell>
          <cell r="F510">
            <v>3846.57266256306</v>
          </cell>
          <cell r="G510">
            <v>3706.0219843080899</v>
          </cell>
          <cell r="H510">
            <v>1823.5811585651199</v>
          </cell>
        </row>
        <row r="511">
          <cell r="B511" t="str">
            <v>D-RLFO</v>
          </cell>
          <cell r="C511" t="str">
            <v>VAR_fout</v>
          </cell>
          <cell r="D511" t="str">
            <v>RLFO</v>
          </cell>
          <cell r="E511">
            <v>60.232445624916004</v>
          </cell>
          <cell r="F511">
            <v>51.320629800815738</v>
          </cell>
          <cell r="G511">
            <v>49.44635418167627</v>
          </cell>
          <cell r="H511">
            <v>24.33745865641847</v>
          </cell>
        </row>
        <row r="512">
          <cell r="B512" t="str">
            <v>D-RLFO</v>
          </cell>
          <cell r="C512" t="str">
            <v>VAR_fin</v>
          </cell>
          <cell r="D512" t="str">
            <v>LFO</v>
          </cell>
          <cell r="E512">
            <v>61.25548358768993</v>
          </cell>
          <cell r="F512">
            <v>52.192302070055007</v>
          </cell>
          <cell r="G512">
            <v>50.285237236201965</v>
          </cell>
          <cell r="H512">
            <v>24.743299302104791</v>
          </cell>
        </row>
        <row r="513">
          <cell r="B513" t="str">
            <v>D-RLFO</v>
          </cell>
          <cell r="C513" t="str">
            <v>VAR_fin</v>
          </cell>
          <cell r="D513" t="str">
            <v>BDS</v>
          </cell>
          <cell r="G513">
            <v>9.5434524827599904E-4</v>
          </cell>
          <cell r="H513">
            <v>7.5287058467960605E-3</v>
          </cell>
        </row>
        <row r="514">
          <cell r="B514" t="str">
            <v>G-INTC-EXP00-IT</v>
          </cell>
          <cell r="C514" t="str">
            <v>VAR_fout</v>
          </cell>
          <cell r="D514" t="str">
            <v>ELC_E-IT</v>
          </cell>
          <cell r="E514">
            <v>71.694131784294385</v>
          </cell>
          <cell r="F514">
            <v>34.86251306640257</v>
          </cell>
          <cell r="G514">
            <v>71.904851705876354</v>
          </cell>
          <cell r="H514">
            <v>52.680973523479118</v>
          </cell>
        </row>
        <row r="515">
          <cell r="B515" t="str">
            <v>G-INTC-EXP00-IT</v>
          </cell>
          <cell r="C515" t="str">
            <v>VAR_fin</v>
          </cell>
          <cell r="D515" t="str">
            <v>ELC</v>
          </cell>
          <cell r="E515">
            <v>71.694131784294385</v>
          </cell>
          <cell r="F515">
            <v>34.86251306640257</v>
          </cell>
          <cell r="G515">
            <v>71.904851705876354</v>
          </cell>
          <cell r="H515">
            <v>52.680973523479118</v>
          </cell>
        </row>
        <row r="516">
          <cell r="B516" t="str">
            <v>G-INTC-EXP00-IT</v>
          </cell>
          <cell r="C516" t="str">
            <v>VAR_ncap</v>
          </cell>
          <cell r="D516" t="str">
            <v>-</v>
          </cell>
          <cell r="E516">
            <v>3.5351282395219399E-5</v>
          </cell>
          <cell r="F516">
            <v>3.1963122217864801E-5</v>
          </cell>
          <cell r="G516">
            <v>3.83722600089321E-5</v>
          </cell>
          <cell r="H516">
            <v>4.0053802249792298E-5</v>
          </cell>
        </row>
        <row r="517">
          <cell r="B517" t="str">
            <v>G-INTC-EXP00-IT</v>
          </cell>
          <cell r="C517" t="str">
            <v>VAR_cap</v>
          </cell>
          <cell r="D517" t="str">
            <v>-</v>
          </cell>
          <cell r="E517">
            <v>3.7498913733083028</v>
          </cell>
          <cell r="F517">
            <v>3.7497952684715536</v>
          </cell>
          <cell r="G517">
            <v>3.7497759004375069</v>
          </cell>
          <cell r="H517">
            <v>3.7497891893365791</v>
          </cell>
        </row>
        <row r="518">
          <cell r="B518" t="str">
            <v>EWOD-CCS</v>
          </cell>
          <cell r="C518" t="str">
            <v>VAR_fout</v>
          </cell>
          <cell r="D518" t="str">
            <v>CO2_O</v>
          </cell>
        </row>
        <row r="519">
          <cell r="B519" t="str">
            <v>EWOD-CCS</v>
          </cell>
          <cell r="C519" t="str">
            <v>VAR_fout</v>
          </cell>
          <cell r="D519" t="str">
            <v>CO2</v>
          </cell>
        </row>
        <row r="520">
          <cell r="B520" t="str">
            <v>EWOD-CCS</v>
          </cell>
          <cell r="C520" t="str">
            <v>VAR_fout</v>
          </cell>
          <cell r="D520" t="str">
            <v>ELC13</v>
          </cell>
        </row>
        <row r="521">
          <cell r="B521" t="str">
            <v>EWOD-CCS</v>
          </cell>
          <cell r="C521" t="str">
            <v>VAR_fin</v>
          </cell>
          <cell r="D521" t="str">
            <v>EWOD</v>
          </cell>
        </row>
        <row r="522">
          <cell r="B522" t="str">
            <v>EWOD-CCS</v>
          </cell>
          <cell r="C522" t="str">
            <v>VAR_ncap</v>
          </cell>
          <cell r="D522" t="str">
            <v>-</v>
          </cell>
        </row>
        <row r="523">
          <cell r="B523" t="str">
            <v>EWOD-CCS</v>
          </cell>
          <cell r="C523" t="str">
            <v>VAR_cap</v>
          </cell>
          <cell r="D523" t="str">
            <v>-</v>
          </cell>
        </row>
        <row r="524">
          <cell r="B524" t="str">
            <v>EOIL-ENG</v>
          </cell>
          <cell r="C524" t="str">
            <v>VAR_fout</v>
          </cell>
          <cell r="D524" t="str">
            <v>ELC35</v>
          </cell>
          <cell r="E524">
            <v>3.9634894610343877E-2</v>
          </cell>
          <cell r="F524">
            <v>2.5645816070054618E-3</v>
          </cell>
          <cell r="G524">
            <v>3.759870426523073E-2</v>
          </cell>
          <cell r="H524">
            <v>5.1097582842592843E-3</v>
          </cell>
        </row>
        <row r="525">
          <cell r="B525" t="str">
            <v>EOIL-ENG</v>
          </cell>
          <cell r="C525" t="str">
            <v>VAR_fout</v>
          </cell>
          <cell r="D525" t="str">
            <v>CO2_E</v>
          </cell>
          <cell r="E525">
            <v>17.485520058401502</v>
          </cell>
          <cell r="F525">
            <v>21.5414119086619</v>
          </cell>
          <cell r="G525">
            <v>9.9893658785399406</v>
          </cell>
          <cell r="H525">
            <v>1.30585304251482</v>
          </cell>
        </row>
        <row r="526">
          <cell r="B526" t="str">
            <v>EOIL-ENG</v>
          </cell>
          <cell r="C526" t="str">
            <v>VAR_fin</v>
          </cell>
          <cell r="D526" t="str">
            <v>ELFO</v>
          </cell>
          <cell r="E526">
            <v>0.23725264665402263</v>
          </cell>
          <cell r="F526">
            <v>0.29228510052458495</v>
          </cell>
          <cell r="G526">
            <v>0.13554092101139664</v>
          </cell>
          <cell r="H526">
            <v>1.7718494471028752E-2</v>
          </cell>
        </row>
        <row r="527">
          <cell r="B527" t="str">
            <v>EOIL-ENG</v>
          </cell>
          <cell r="C527" t="str">
            <v>VAR_ncap</v>
          </cell>
          <cell r="D527" t="str">
            <v>-</v>
          </cell>
          <cell r="F527">
            <v>6.8119039490294295E-4</v>
          </cell>
          <cell r="G527">
            <v>1.5747048355054499E-2</v>
          </cell>
          <cell r="H527">
            <v>1.671709355842E-2</v>
          </cell>
        </row>
        <row r="528">
          <cell r="B528" t="str">
            <v>EOIL-ENG</v>
          </cell>
          <cell r="C528" t="str">
            <v>VAR_cap</v>
          </cell>
          <cell r="D528" t="str">
            <v>-</v>
          </cell>
          <cell r="E528">
            <v>8.1232829986476796E-2</v>
          </cell>
          <cell r="F528">
            <v>3.5789385088572843E-2</v>
          </cell>
          <cell r="G528">
            <v>3.26621325943348E-2</v>
          </cell>
          <cell r="H528">
            <v>4.0101408809086622E-2</v>
          </cell>
        </row>
        <row r="529">
          <cell r="B529" t="str">
            <v>D-SWOD</v>
          </cell>
          <cell r="C529" t="str">
            <v>VAR_fout</v>
          </cell>
          <cell r="D529" t="str">
            <v>SWOD</v>
          </cell>
          <cell r="E529">
            <v>8.5744660242739226</v>
          </cell>
          <cell r="F529">
            <v>7.2610711900694813</v>
          </cell>
          <cell r="G529">
            <v>10.069284452655683</v>
          </cell>
          <cell r="H529">
            <v>9.6060666162982002</v>
          </cell>
        </row>
        <row r="530">
          <cell r="B530" t="str">
            <v>D-SWOD</v>
          </cell>
          <cell r="C530" t="str">
            <v>VAR_fin</v>
          </cell>
          <cell r="D530" t="str">
            <v>WOD</v>
          </cell>
          <cell r="E530">
            <v>8.5744660242739226</v>
          </cell>
          <cell r="F530">
            <v>7.2610711900694813</v>
          </cell>
          <cell r="G530">
            <v>10.069284452655683</v>
          </cell>
          <cell r="H530">
            <v>9.6060666162982002</v>
          </cell>
        </row>
        <row r="531">
          <cell r="B531" t="str">
            <v>SCOM-CHPWOD</v>
          </cell>
          <cell r="C531" t="str">
            <v>VAR_ncap</v>
          </cell>
          <cell r="D531" t="str">
            <v>-</v>
          </cell>
          <cell r="H531">
            <v>2.5563926205390602E-4</v>
          </cell>
        </row>
        <row r="532">
          <cell r="B532" t="str">
            <v>SCOM-CHPWOD</v>
          </cell>
          <cell r="C532" t="str">
            <v>VAR_cap</v>
          </cell>
          <cell r="D532" t="str">
            <v>-</v>
          </cell>
          <cell r="H532">
            <v>2.5563926205390602E-4</v>
          </cell>
        </row>
        <row r="533">
          <cell r="B533" t="str">
            <v>ENUC_BMGL</v>
          </cell>
          <cell r="C533" t="str">
            <v>VAR_fout</v>
          </cell>
          <cell r="D533" t="str">
            <v>ELC</v>
          </cell>
          <cell r="E533">
            <v>32.820819532885672</v>
          </cell>
          <cell r="F533">
            <v>32.820660195624974</v>
          </cell>
          <cell r="G533">
            <v>32.820595744857229</v>
          </cell>
          <cell r="H533">
            <v>32.820711319274238</v>
          </cell>
        </row>
        <row r="534">
          <cell r="B534" t="str">
            <v>ENUC_BMGL</v>
          </cell>
          <cell r="C534" t="str">
            <v>VAR_fin</v>
          </cell>
          <cell r="D534" t="str">
            <v>URN</v>
          </cell>
          <cell r="E534">
            <v>98.945558292830725</v>
          </cell>
          <cell r="F534">
            <v>98.945077935714565</v>
          </cell>
          <cell r="G534">
            <v>98.944883634740719</v>
          </cell>
          <cell r="H534">
            <v>98.945232059166912</v>
          </cell>
        </row>
        <row r="535">
          <cell r="B535" t="str">
            <v>ENUC_BMGL</v>
          </cell>
          <cell r="C535" t="str">
            <v>VAR_cap</v>
          </cell>
          <cell r="D535" t="str">
            <v>-</v>
          </cell>
          <cell r="E535">
            <v>1.219999664491805</v>
          </cell>
          <cell r="F535">
            <v>1.2199988067618708</v>
          </cell>
          <cell r="G535">
            <v>1.2199989241095346</v>
          </cell>
          <cell r="H535">
            <v>1.219999066194585</v>
          </cell>
        </row>
        <row r="536">
          <cell r="B536" t="str">
            <v>D-RSH2R</v>
          </cell>
          <cell r="C536" t="str">
            <v>VAR_fout</v>
          </cell>
          <cell r="D536" t="str">
            <v>RSH2</v>
          </cell>
          <cell r="H536">
            <v>4.949715505839546E-3</v>
          </cell>
        </row>
        <row r="537">
          <cell r="B537" t="str">
            <v>D-RSH2R</v>
          </cell>
          <cell r="C537" t="str">
            <v>VAR_fin</v>
          </cell>
          <cell r="D537" t="str">
            <v>H2</v>
          </cell>
          <cell r="H537">
            <v>4.949715505839546E-3</v>
          </cell>
        </row>
        <row r="538">
          <cell r="B538" t="str">
            <v>D-RSH2R</v>
          </cell>
          <cell r="C538" t="str">
            <v>VAR_ncap</v>
          </cell>
          <cell r="D538" t="str">
            <v>-</v>
          </cell>
          <cell r="H538">
            <v>9.2706046910049603E-4</v>
          </cell>
        </row>
        <row r="539">
          <cell r="B539" t="str">
            <v>D-RSH2R</v>
          </cell>
          <cell r="C539" t="str">
            <v>VAR_cap</v>
          </cell>
          <cell r="D539" t="str">
            <v>-</v>
          </cell>
          <cell r="H539">
            <v>9.2706046910049603E-4</v>
          </cell>
        </row>
        <row r="540">
          <cell r="B540" t="str">
            <v>ENGA-GTOC</v>
          </cell>
          <cell r="C540" t="str">
            <v>VAR_fout</v>
          </cell>
          <cell r="D540" t="str">
            <v>ELC13</v>
          </cell>
        </row>
        <row r="541">
          <cell r="B541" t="str">
            <v>ENGA-GTOC</v>
          </cell>
          <cell r="C541" t="str">
            <v>VAR_fout</v>
          </cell>
          <cell r="D541" t="str">
            <v>CO2_E</v>
          </cell>
        </row>
        <row r="542">
          <cell r="B542" t="str">
            <v>ENGA-GTOC</v>
          </cell>
          <cell r="C542" t="str">
            <v>VAR_fin</v>
          </cell>
          <cell r="D542" t="str">
            <v>ENGA</v>
          </cell>
        </row>
        <row r="543">
          <cell r="B543" t="str">
            <v>ENGA-GTOC</v>
          </cell>
          <cell r="C543" t="str">
            <v>VAR_fin</v>
          </cell>
          <cell r="D543" t="str">
            <v>GTC</v>
          </cell>
        </row>
        <row r="544">
          <cell r="B544" t="str">
            <v>ENGA-GTOC</v>
          </cell>
          <cell r="C544" t="str">
            <v>VAR_ncap</v>
          </cell>
          <cell r="D544" t="str">
            <v>-</v>
          </cell>
        </row>
        <row r="545">
          <cell r="B545" t="str">
            <v>ENGA-GTOC</v>
          </cell>
          <cell r="C545" t="str">
            <v>VAR_cap</v>
          </cell>
          <cell r="D545" t="str">
            <v>-</v>
          </cell>
        </row>
        <row r="546">
          <cell r="B546" t="str">
            <v>D-RSH2</v>
          </cell>
          <cell r="C546" t="str">
            <v>VAR_fout</v>
          </cell>
          <cell r="D546" t="str">
            <v>RSH2</v>
          </cell>
          <cell r="H546">
            <v>4.6824012189241671E-3</v>
          </cell>
        </row>
        <row r="547">
          <cell r="B547" t="str">
            <v>D-RSH2</v>
          </cell>
          <cell r="C547" t="str">
            <v>VAR_fin</v>
          </cell>
          <cell r="D547" t="str">
            <v>H2</v>
          </cell>
          <cell r="H547">
            <v>4.7180735682675352E-3</v>
          </cell>
        </row>
        <row r="548">
          <cell r="B548" t="str">
            <v>D-RSH2</v>
          </cell>
          <cell r="C548" t="str">
            <v>VAR_ncap</v>
          </cell>
          <cell r="D548" t="str">
            <v>-</v>
          </cell>
          <cell r="H548">
            <v>1.2126009950502001E-3</v>
          </cell>
        </row>
        <row r="549">
          <cell r="B549" t="str">
            <v>D-RSH2</v>
          </cell>
          <cell r="C549" t="str">
            <v>VAR_cap</v>
          </cell>
          <cell r="D549" t="str">
            <v>-</v>
          </cell>
          <cell r="H549">
            <v>1.2126009950502001E-3</v>
          </cell>
        </row>
        <row r="550">
          <cell r="B550" t="str">
            <v>D-RWOD</v>
          </cell>
          <cell r="C550" t="str">
            <v>VAR_fout</v>
          </cell>
          <cell r="D550" t="str">
            <v>RWOD</v>
          </cell>
          <cell r="E550">
            <v>13.723481082941639</v>
          </cell>
          <cell r="F550">
            <v>15.204634650354425</v>
          </cell>
          <cell r="G550">
            <v>16.945578762872383</v>
          </cell>
          <cell r="H550">
            <v>15.000448781571004</v>
          </cell>
        </row>
        <row r="551">
          <cell r="B551" t="str">
            <v>D-RWOD</v>
          </cell>
          <cell r="C551" t="str">
            <v>VAR_fin</v>
          </cell>
          <cell r="D551" t="str">
            <v>WOD</v>
          </cell>
          <cell r="E551">
            <v>13.723481082941639</v>
          </cell>
          <cell r="F551">
            <v>15.204634650354425</v>
          </cell>
          <cell r="G551">
            <v>16.945578762872383</v>
          </cell>
          <cell r="H551">
            <v>15.000448781571004</v>
          </cell>
        </row>
        <row r="552">
          <cell r="B552" t="str">
            <v>CHPOIL</v>
          </cell>
          <cell r="C552" t="str">
            <v>VAR_fout</v>
          </cell>
          <cell r="D552" t="str">
            <v>ELC35</v>
          </cell>
          <cell r="E552">
            <v>1.8349123239430553E-3</v>
          </cell>
          <cell r="F552">
            <v>2.4504348226983604E-3</v>
          </cell>
          <cell r="G552">
            <v>8.458607703420223E-3</v>
          </cell>
          <cell r="H552">
            <v>1.9039403292679326E-3</v>
          </cell>
        </row>
        <row r="553">
          <cell r="B553" t="str">
            <v>CHPOIL</v>
          </cell>
          <cell r="C553" t="str">
            <v>VAR_fout</v>
          </cell>
          <cell r="D553" t="str">
            <v>LTH</v>
          </cell>
          <cell r="E553">
            <v>9.436691951707139E-3</v>
          </cell>
          <cell r="F553">
            <v>1.2602236231020103E-2</v>
          </cell>
          <cell r="G553">
            <v>4.3501411046161162E-2</v>
          </cell>
          <cell r="H553">
            <v>9.7916931219493644E-3</v>
          </cell>
        </row>
        <row r="554">
          <cell r="B554" t="str">
            <v>CHPOIL</v>
          </cell>
          <cell r="C554" t="str">
            <v>VAR_fout</v>
          </cell>
          <cell r="D554" t="str">
            <v>CO2_E</v>
          </cell>
          <cell r="E554">
            <v>10.030526384494101</v>
          </cell>
          <cell r="F554">
            <v>23.123564367005699</v>
          </cell>
          <cell r="G554">
            <v>7.2147431585767601</v>
          </cell>
          <cell r="H554">
            <v>1.44625881774772</v>
          </cell>
        </row>
        <row r="555">
          <cell r="B555" t="str">
            <v>CHPOIL</v>
          </cell>
          <cell r="C555" t="str">
            <v>VAR_fin</v>
          </cell>
          <cell r="D555" t="str">
            <v>ELFO</v>
          </cell>
          <cell r="E555">
            <v>0.1360994082020909</v>
          </cell>
          <cell r="F555">
            <v>0.31375256943019902</v>
          </cell>
          <cell r="G555">
            <v>9.7893394281909907E-2</v>
          </cell>
          <cell r="H555">
            <v>1.9623593185179356E-2</v>
          </cell>
        </row>
        <row r="556">
          <cell r="B556" t="str">
            <v>CHPOIL</v>
          </cell>
          <cell r="C556" t="str">
            <v>VAR_ncap</v>
          </cell>
          <cell r="D556" t="str">
            <v>-</v>
          </cell>
          <cell r="F556">
            <v>4.3320247787038599E-4</v>
          </cell>
          <cell r="G556">
            <v>1.4826461404456501E-4</v>
          </cell>
          <cell r="H556">
            <v>1.24311930833582E-4</v>
          </cell>
        </row>
        <row r="557">
          <cell r="B557" t="str">
            <v>CHPOIL</v>
          </cell>
          <cell r="C557" t="str">
            <v>VAR_cap</v>
          </cell>
          <cell r="D557" t="str">
            <v>-</v>
          </cell>
          <cell r="E557">
            <v>1.0757283737330673E-2</v>
          </cell>
          <cell r="F557">
            <v>1.0406777987479129E-2</v>
          </cell>
          <cell r="G557">
            <v>1.0067985908567135E-2</v>
          </cell>
          <cell r="H557">
            <v>5.9965843477021719E-3</v>
          </cell>
        </row>
        <row r="558">
          <cell r="B558" t="str">
            <v>CHPHFC</v>
          </cell>
          <cell r="C558" t="str">
            <v>VAR_fout</v>
          </cell>
          <cell r="D558" t="str">
            <v>ELC35</v>
          </cell>
        </row>
        <row r="559">
          <cell r="B559" t="str">
            <v>CHPHFC</v>
          </cell>
          <cell r="C559" t="str">
            <v>VAR_fout</v>
          </cell>
          <cell r="D559" t="str">
            <v>LTH</v>
          </cell>
        </row>
        <row r="560">
          <cell r="B560" t="str">
            <v>CHPHFC</v>
          </cell>
          <cell r="C560" t="str">
            <v>VAR_fin</v>
          </cell>
          <cell r="D560" t="str">
            <v>EH2</v>
          </cell>
        </row>
        <row r="561">
          <cell r="B561" t="str">
            <v>CHPHFC</v>
          </cell>
          <cell r="C561" t="str">
            <v>VAR_ncap</v>
          </cell>
          <cell r="D561" t="str">
            <v>-</v>
          </cell>
        </row>
        <row r="562">
          <cell r="B562" t="str">
            <v>CHPHFC</v>
          </cell>
          <cell r="C562" t="str">
            <v>VAR_cap</v>
          </cell>
          <cell r="D562" t="str">
            <v>-</v>
          </cell>
        </row>
        <row r="563">
          <cell r="B563" t="str">
            <v>ITOT-ESOLPV</v>
          </cell>
          <cell r="C563" t="str">
            <v>VAR_fout</v>
          </cell>
          <cell r="D563" t="str">
            <v>ITOT_SOL_ELC</v>
          </cell>
          <cell r="E563">
            <v>3.517953999707534</v>
          </cell>
          <cell r="F563">
            <v>4.8486281142671022</v>
          </cell>
          <cell r="G563">
            <v>11.161305651766572</v>
          </cell>
          <cell r="H563">
            <v>19.477151131911679</v>
          </cell>
        </row>
        <row r="564">
          <cell r="B564" t="str">
            <v>ITOT-ESOLPV</v>
          </cell>
          <cell r="C564" t="str">
            <v>VAR_fin</v>
          </cell>
          <cell r="D564" t="str">
            <v>SOL</v>
          </cell>
          <cell r="E564">
            <v>3.517953999707534</v>
          </cell>
          <cell r="F564">
            <v>4.8486281142671022</v>
          </cell>
          <cell r="G564">
            <v>11.161305651766572</v>
          </cell>
          <cell r="H564">
            <v>19.477151131911679</v>
          </cell>
        </row>
        <row r="565">
          <cell r="B565" t="str">
            <v>ITOT-ESOLPV</v>
          </cell>
          <cell r="C565" t="str">
            <v>VAR_fin</v>
          </cell>
          <cell r="D565" t="str">
            <v>SOLPVC</v>
          </cell>
          <cell r="E565">
            <v>3.51795399970753</v>
          </cell>
          <cell r="F565">
            <v>4.8486281142671004</v>
          </cell>
          <cell r="G565">
            <v>11.1613056517666</v>
          </cell>
          <cell r="H565">
            <v>19.4771511319117</v>
          </cell>
        </row>
        <row r="566">
          <cell r="B566" t="str">
            <v>ITOT-ESOLPV</v>
          </cell>
          <cell r="C566" t="str">
            <v>VAR_ncap</v>
          </cell>
          <cell r="D566" t="str">
            <v>-</v>
          </cell>
          <cell r="F566">
            <v>2.0099865908369601E-6</v>
          </cell>
          <cell r="G566">
            <v>1.76790967767338</v>
          </cell>
          <cell r="H566">
            <v>2.1224874166294101</v>
          </cell>
        </row>
        <row r="567">
          <cell r="B567" t="str">
            <v>ITOT-ESOLPV</v>
          </cell>
          <cell r="C567" t="str">
            <v>VAR_cap</v>
          </cell>
          <cell r="D567" t="str">
            <v>-</v>
          </cell>
          <cell r="E567">
            <v>1.1186210000000001</v>
          </cell>
          <cell r="F567">
            <v>1.652929024573641</v>
          </cell>
          <cell r="G567">
            <v>3.56113268765997</v>
          </cell>
          <cell r="H567">
            <v>5.6147042074852802</v>
          </cell>
        </row>
        <row r="568">
          <cell r="B568" t="str">
            <v>RHNS-CHPNGA</v>
          </cell>
          <cell r="C568" t="str">
            <v>VAR_fout</v>
          </cell>
          <cell r="D568" t="str">
            <v>CO2_R</v>
          </cell>
          <cell r="F568">
            <v>0.693017293254791</v>
          </cell>
          <cell r="G568">
            <v>3.7135303848319898</v>
          </cell>
        </row>
        <row r="569">
          <cell r="B569" t="str">
            <v>RHNS-CHPNGA</v>
          </cell>
          <cell r="C569" t="str">
            <v>VAR_fout</v>
          </cell>
          <cell r="D569" t="str">
            <v>RHNS_LTH_CHPNGA</v>
          </cell>
          <cell r="F569">
            <v>6.7622707762953239E-3</v>
          </cell>
          <cell r="G569">
            <v>1.1414786229301949E-2</v>
          </cell>
        </row>
        <row r="570">
          <cell r="B570" t="str">
            <v>RHNS-CHPNGA</v>
          </cell>
          <cell r="C570" t="str">
            <v>VAR_fout</v>
          </cell>
          <cell r="D570" t="str">
            <v>RHNS_NKEV_GAS_ELC_CHP</v>
          </cell>
          <cell r="F570">
            <v>2.8376313870333348E-3</v>
          </cell>
          <cell r="G570">
            <v>4.8644748530734302E-3</v>
          </cell>
        </row>
        <row r="571">
          <cell r="B571" t="str">
            <v>RHNS-CHPNGA</v>
          </cell>
          <cell r="C571" t="str">
            <v>VAR_fin</v>
          </cell>
          <cell r="D571" t="str">
            <v>RNGA</v>
          </cell>
          <cell r="F571">
            <v>1.228754066054594E-2</v>
          </cell>
          <cell r="G571">
            <v>6.5842737319716266E-2</v>
          </cell>
        </row>
        <row r="572">
          <cell r="B572" t="str">
            <v>RHNS-CHPNGA</v>
          </cell>
          <cell r="C572" t="str">
            <v>VAR_ncap</v>
          </cell>
          <cell r="D572" t="str">
            <v>-</v>
          </cell>
          <cell r="F572">
            <v>8.1944519475969202E-4</v>
          </cell>
        </row>
        <row r="573">
          <cell r="B573" t="str">
            <v>RHNS-CHPNGA</v>
          </cell>
          <cell r="C573" t="str">
            <v>VAR_cap</v>
          </cell>
          <cell r="D573" t="str">
            <v>-</v>
          </cell>
          <cell r="F573">
            <v>8.1944519475969202E-4</v>
          </cell>
          <cell r="G573">
            <v>8.1936981760555078E-4</v>
          </cell>
          <cell r="H573">
            <v>8.1845212527702769E-4</v>
          </cell>
        </row>
        <row r="574">
          <cell r="B574" t="str">
            <v>ENUC_BEZ</v>
          </cell>
          <cell r="C574" t="str">
            <v>VAR_fout</v>
          </cell>
          <cell r="D574" t="str">
            <v>ELC</v>
          </cell>
          <cell r="E574">
            <v>20.224825435548158</v>
          </cell>
          <cell r="F574">
            <v>20.224546329288522</v>
          </cell>
          <cell r="G574">
            <v>13.566215158609351</v>
          </cell>
          <cell r="H574">
            <v>7.3988410261024553</v>
          </cell>
        </row>
        <row r="575">
          <cell r="B575" t="str">
            <v>ENUC_BEZ</v>
          </cell>
          <cell r="C575" t="str">
            <v>VAR_fin</v>
          </cell>
          <cell r="D575" t="str">
            <v>URN</v>
          </cell>
          <cell r="E575">
            <v>60.972171706140479</v>
          </cell>
          <cell r="F575">
            <v>60.971330279110965</v>
          </cell>
          <cell r="G575">
            <v>40.898330751439516</v>
          </cell>
          <cell r="H575">
            <v>22.305428885286606</v>
          </cell>
        </row>
        <row r="576">
          <cell r="B576" t="str">
            <v>ENUC_BEZ</v>
          </cell>
          <cell r="C576" t="str">
            <v>VAR_cap</v>
          </cell>
          <cell r="D576" t="str">
            <v>-</v>
          </cell>
          <cell r="E576">
            <v>0.72999936923762698</v>
          </cell>
          <cell r="F576">
            <v>0.72999495896604605</v>
          </cell>
          <cell r="G576">
            <v>0.48967780183493492</v>
          </cell>
          <cell r="H576">
            <v>0.26706591318493578</v>
          </cell>
        </row>
        <row r="577">
          <cell r="B577" t="str">
            <v>RHNM-CHPWOD</v>
          </cell>
          <cell r="C577" t="str">
            <v>VAR_ncap</v>
          </cell>
          <cell r="D577" t="str">
            <v>-</v>
          </cell>
          <cell r="H577">
            <v>1.2309834003820799E-4</v>
          </cell>
        </row>
        <row r="578">
          <cell r="B578" t="str">
            <v>RHNM-CHPWOD</v>
          </cell>
          <cell r="C578" t="str">
            <v>VAR_cap</v>
          </cell>
          <cell r="D578" t="str">
            <v>-</v>
          </cell>
          <cell r="H578">
            <v>1.2309834003820799E-4</v>
          </cell>
        </row>
        <row r="579">
          <cell r="B579" t="str">
            <v>RHNM-SHSTG-CHPNGA</v>
          </cell>
          <cell r="C579" t="str">
            <v>VAR_fout</v>
          </cell>
          <cell r="D579" t="str">
            <v>AUX_RNM-CHPNGA_OUT</v>
          </cell>
          <cell r="E579">
            <v>3.9056059625537857E-3</v>
          </cell>
          <cell r="F579">
            <v>5.9457915194215073E-3</v>
          </cell>
          <cell r="G579">
            <v>3.3695645132567981E-2</v>
          </cell>
          <cell r="H579">
            <v>2.0738225255054459E-3</v>
          </cell>
        </row>
        <row r="580">
          <cell r="B580" t="str">
            <v>RHNM-SHSTG-CHPNGA</v>
          </cell>
          <cell r="C580" t="str">
            <v>VAR_fout</v>
          </cell>
          <cell r="D580" t="str">
            <v>RHNM_LTH_CHPNGA</v>
          </cell>
          <cell r="E580">
            <v>3.9056059625537745E-3</v>
          </cell>
          <cell r="F580">
            <v>5.9497553804344471E-3</v>
          </cell>
          <cell r="G580">
            <v>3.373074476291435E-2</v>
          </cell>
          <cell r="H580">
            <v>2.0738225255054459E-3</v>
          </cell>
        </row>
        <row r="581">
          <cell r="B581" t="str">
            <v>RHNM-SHSTG-CHPNGA</v>
          </cell>
          <cell r="C581" t="str">
            <v>VAR_fin</v>
          </cell>
          <cell r="D581" t="str">
            <v>AUX_RNM-CHPNGA_IN</v>
          </cell>
          <cell r="E581">
            <v>2.9730319000925384E-3</v>
          </cell>
          <cell r="F581">
            <v>7.8344443617102393E-3</v>
          </cell>
          <cell r="G581">
            <v>4.3575911380758559E-2</v>
          </cell>
          <cell r="H581">
            <v>1.6226877489335159E-3</v>
          </cell>
        </row>
        <row r="582">
          <cell r="B582" t="str">
            <v>RHNM-SHSTG-CHPNGA</v>
          </cell>
          <cell r="C582" t="str">
            <v>VAR_fin</v>
          </cell>
          <cell r="D582" t="str">
            <v>RHNM_LTH_CHPNGA</v>
          </cell>
          <cell r="E582">
            <v>2.9730319000925384E-3</v>
          </cell>
          <cell r="F582">
            <v>7.8344443617102393E-3</v>
          </cell>
          <cell r="G582">
            <v>4.3575911380758559E-2</v>
          </cell>
          <cell r="H582">
            <v>1.6226877489335159E-3</v>
          </cell>
        </row>
        <row r="583">
          <cell r="B583" t="str">
            <v>RHNM-SHSTG-CHPNGA</v>
          </cell>
          <cell r="C583" t="str">
            <v>VAR_ncap</v>
          </cell>
          <cell r="D583" t="str">
            <v>-</v>
          </cell>
          <cell r="E583">
            <v>5.5193987800917901E-2</v>
          </cell>
          <cell r="F583">
            <v>1.9909067828594801E-3</v>
          </cell>
          <cell r="G583">
            <v>1.0182548413253301E-3</v>
          </cell>
          <cell r="H583">
            <v>4.9472694493353498E-4</v>
          </cell>
        </row>
        <row r="584">
          <cell r="B584" t="str">
            <v>RHNM-SHSTG-CHPNGA</v>
          </cell>
          <cell r="C584" t="str">
            <v>VAR_cap</v>
          </cell>
          <cell r="D584" t="str">
            <v>-</v>
          </cell>
          <cell r="E584">
            <v>5.5193987800917901E-2</v>
          </cell>
          <cell r="F584">
            <v>5.7084225168616651E-2</v>
          </cell>
          <cell r="G584">
            <v>5.7731645915013258E-2</v>
          </cell>
          <cell r="H584">
            <v>5.5565768723573321E-2</v>
          </cell>
        </row>
        <row r="585">
          <cell r="B585" t="str">
            <v>CT_CWODBDS</v>
          </cell>
          <cell r="C585" t="str">
            <v>VAR_fout</v>
          </cell>
          <cell r="D585" t="str">
            <v>BDS</v>
          </cell>
          <cell r="E585">
            <v>0.13920514596278311</v>
          </cell>
          <cell r="F585">
            <v>1.2028627611103246</v>
          </cell>
          <cell r="G585">
            <v>1.2012468494261463</v>
          </cell>
          <cell r="H585">
            <v>2.0055232869130191E-2</v>
          </cell>
        </row>
        <row r="586">
          <cell r="B586" t="str">
            <v>CT_CWODBDS</v>
          </cell>
          <cell r="C586" t="str">
            <v>VAR_fout</v>
          </cell>
          <cell r="D586" t="str">
            <v>LTH</v>
          </cell>
          <cell r="E586">
            <v>5.429000692548535E-2</v>
          </cell>
          <cell r="F586">
            <v>0.46911647683302599</v>
          </cell>
          <cell r="G586">
            <v>0.46848627127619663</v>
          </cell>
          <cell r="H586">
            <v>7.8215408189607639E-3</v>
          </cell>
        </row>
        <row r="587">
          <cell r="B587" t="str">
            <v>CT_CWODBDS</v>
          </cell>
          <cell r="C587" t="str">
            <v>VAR_fin</v>
          </cell>
          <cell r="D587" t="str">
            <v>CWOD</v>
          </cell>
          <cell r="E587">
            <v>0.39666506342095031</v>
          </cell>
          <cell r="F587">
            <v>3.4275574377838676</v>
          </cell>
          <cell r="G587">
            <v>3.4229528974398034</v>
          </cell>
          <cell r="H587">
            <v>5.7147386060586461E-2</v>
          </cell>
        </row>
        <row r="588">
          <cell r="B588" t="str">
            <v>CT_CWODBDS</v>
          </cell>
          <cell r="C588" t="str">
            <v>VAR_fin</v>
          </cell>
          <cell r="D588" t="str">
            <v>CELC</v>
          </cell>
          <cell r="E588">
            <v>9.6747576444134228E-3</v>
          </cell>
          <cell r="F588">
            <v>8.3598961897167479E-2</v>
          </cell>
          <cell r="G588">
            <v>8.3486656035117041E-2</v>
          </cell>
          <cell r="H588">
            <v>1.3938386844045481E-3</v>
          </cell>
        </row>
        <row r="589">
          <cell r="B589" t="str">
            <v>CT_CWODBDS</v>
          </cell>
          <cell r="C589" t="str">
            <v>VAR_ncap</v>
          </cell>
          <cell r="D589" t="str">
            <v>-</v>
          </cell>
          <cell r="E589">
            <v>1.5317256403648201E-5</v>
          </cell>
          <cell r="F589">
            <v>4.8524294647227398E-6</v>
          </cell>
          <cell r="G589">
            <v>2.0768275224184099E-5</v>
          </cell>
          <cell r="H589">
            <v>7.6793403797711493E-6</v>
          </cell>
        </row>
        <row r="590">
          <cell r="B590" t="str">
            <v>CT_CWODBDS</v>
          </cell>
          <cell r="C590" t="str">
            <v>VAR_cap</v>
          </cell>
          <cell r="D590" t="str">
            <v>-</v>
          </cell>
          <cell r="E590">
            <v>6.2414620691383371E-2</v>
          </cell>
          <cell r="F590">
            <v>6.2409584697077226E-2</v>
          </cell>
          <cell r="G590">
            <v>6.2309309925621462E-2</v>
          </cell>
          <cell r="H590">
            <v>1.5724493680443277E-3</v>
          </cell>
        </row>
        <row r="591">
          <cell r="B591" t="str">
            <v>RHNS-EBAT</v>
          </cell>
          <cell r="C591" t="str">
            <v>VAR_fout</v>
          </cell>
          <cell r="D591" t="str">
            <v>RHNS_ELC</v>
          </cell>
          <cell r="E591">
            <v>2.5626986746444574E-2</v>
          </cell>
          <cell r="F591">
            <v>2.5690899291793832E-2</v>
          </cell>
          <cell r="G591">
            <v>0.14283220307770636</v>
          </cell>
          <cell r="H591">
            <v>0.40899024431534775</v>
          </cell>
        </row>
        <row r="592">
          <cell r="B592" t="str">
            <v>RHNS-EBAT</v>
          </cell>
          <cell r="C592" t="str">
            <v>VAR_fout</v>
          </cell>
          <cell r="D592" t="str">
            <v>AUX_RHNS-EBAT_OUT</v>
          </cell>
          <cell r="E592">
            <v>2.5626986746444601E-2</v>
          </cell>
          <cell r="F592">
            <v>2.5690899291793853E-2</v>
          </cell>
          <cell r="G592">
            <v>0.14283220307770658</v>
          </cell>
          <cell r="H592">
            <v>0.40899024431534797</v>
          </cell>
        </row>
        <row r="593">
          <cell r="B593" t="str">
            <v>RHNS-EBAT</v>
          </cell>
          <cell r="C593" t="str">
            <v>VAR_fin</v>
          </cell>
          <cell r="D593" t="str">
            <v>RHNS_ELC</v>
          </cell>
          <cell r="E593">
            <v>2.8456359704548351E-2</v>
          </cell>
          <cell r="F593">
            <v>2.8514309579530592E-2</v>
          </cell>
          <cell r="G593">
            <v>0.1579707069950162</v>
          </cell>
          <cell r="H593">
            <v>0.45230207593171767</v>
          </cell>
        </row>
        <row r="594">
          <cell r="B594" t="str">
            <v>RHNS-EBAT</v>
          </cell>
          <cell r="C594" t="str">
            <v>VAR_fin</v>
          </cell>
          <cell r="D594" t="str">
            <v>AUX_RHNS-EBAT_IN</v>
          </cell>
          <cell r="E594">
            <v>2.8456359704548351E-2</v>
          </cell>
          <cell r="F594">
            <v>2.8514309579530592E-2</v>
          </cell>
          <cell r="G594">
            <v>0.1579707069950162</v>
          </cell>
          <cell r="H594">
            <v>0.45230207593171767</v>
          </cell>
        </row>
        <row r="595">
          <cell r="B595" t="str">
            <v>RHNS-EBAT</v>
          </cell>
          <cell r="C595" t="str">
            <v>VAR_ncap</v>
          </cell>
          <cell r="D595" t="str">
            <v>-</v>
          </cell>
          <cell r="E595">
            <v>1.05880932235865E-2</v>
          </cell>
          <cell r="F595">
            <v>2.1620006733737299E-5</v>
          </cell>
          <cell r="G595">
            <v>6.5961929170929107E-2</v>
          </cell>
          <cell r="H595">
            <v>9.3813264764814802E-2</v>
          </cell>
        </row>
        <row r="596">
          <cell r="B596" t="str">
            <v>RHNS-EBAT</v>
          </cell>
          <cell r="C596" t="str">
            <v>VAR_cap</v>
          </cell>
          <cell r="D596" t="str">
            <v>-</v>
          </cell>
          <cell r="E596">
            <v>1.0590198734133891E-2</v>
          </cell>
          <cell r="F596">
            <v>1.0606440465077574E-2</v>
          </cell>
          <cell r="G596">
            <v>7.6558514931930888E-2</v>
          </cell>
          <cell r="H596">
            <v>0.16752439834944019</v>
          </cell>
        </row>
        <row r="597">
          <cell r="B597" t="str">
            <v>G-INTC-EXP00-AT</v>
          </cell>
          <cell r="C597" t="str">
            <v>VAR_fout</v>
          </cell>
          <cell r="D597" t="str">
            <v>ELC_E-AT</v>
          </cell>
          <cell r="E597">
            <v>6.2296562858476987</v>
          </cell>
          <cell r="F597">
            <v>1.5931736788436374E-2</v>
          </cell>
          <cell r="G597">
            <v>2.0913411592458787E-2</v>
          </cell>
          <cell r="H597">
            <v>3.8060721036487187E-3</v>
          </cell>
        </row>
        <row r="598">
          <cell r="B598" t="str">
            <v>G-INTC-EXP00-AT</v>
          </cell>
          <cell r="C598" t="str">
            <v>VAR_fin</v>
          </cell>
          <cell r="D598" t="str">
            <v>ELC</v>
          </cell>
          <cell r="E598">
            <v>6.2296562858476987</v>
          </cell>
          <cell r="F598">
            <v>1.5931736788436374E-2</v>
          </cell>
          <cell r="G598">
            <v>2.0913411592458787E-2</v>
          </cell>
          <cell r="H598">
            <v>3.8060721036487187E-3</v>
          </cell>
        </row>
        <row r="599">
          <cell r="B599" t="str">
            <v>G-INTC-EXP00-AT</v>
          </cell>
          <cell r="C599" t="str">
            <v>VAR_ncap</v>
          </cell>
          <cell r="D599" t="str">
            <v>-</v>
          </cell>
          <cell r="E599">
            <v>2.3199192767342202E-5</v>
          </cell>
          <cell r="F599">
            <v>2.57349684696265E-5</v>
          </cell>
          <cell r="G599">
            <v>4.8132935711398399E-5</v>
          </cell>
          <cell r="H599">
            <v>3.1005336534215201E-5</v>
          </cell>
        </row>
        <row r="600">
          <cell r="B600" t="str">
            <v>G-INTC-EXP00-AT</v>
          </cell>
          <cell r="C600" t="str">
            <v>VAR_cap</v>
          </cell>
          <cell r="D600" t="str">
            <v>-</v>
          </cell>
          <cell r="E600">
            <v>0.25054161891014093</v>
          </cell>
          <cell r="F600">
            <v>9.680136813069895E-3</v>
          </cell>
          <cell r="G600">
            <v>9.54947133923989E-3</v>
          </cell>
          <cell r="H600">
            <v>9.5007772504103194E-3</v>
          </cell>
        </row>
        <row r="601">
          <cell r="B601" t="str">
            <v>G-INTC-IMP00-DE</v>
          </cell>
          <cell r="C601" t="str">
            <v>VAR_fout</v>
          </cell>
          <cell r="D601" t="str">
            <v>ELC</v>
          </cell>
          <cell r="E601">
            <v>46.3985156408202</v>
          </cell>
          <cell r="F601">
            <v>28.265630226990357</v>
          </cell>
          <cell r="G601">
            <v>23.333218548066622</v>
          </cell>
          <cell r="H601">
            <v>32.107053704417403</v>
          </cell>
        </row>
        <row r="602">
          <cell r="B602" t="str">
            <v>G-INTC-IMP00-DE</v>
          </cell>
          <cell r="C602" t="str">
            <v>VAR_fin</v>
          </cell>
          <cell r="D602" t="str">
            <v>ELC_I-DE</v>
          </cell>
          <cell r="E602">
            <v>46.3985156408202</v>
          </cell>
          <cell r="F602">
            <v>28.265630226990357</v>
          </cell>
          <cell r="G602">
            <v>23.333218548066622</v>
          </cell>
          <cell r="H602">
            <v>32.107053704417403</v>
          </cell>
        </row>
        <row r="603">
          <cell r="B603" t="str">
            <v>G-INTC-IMP00-DE</v>
          </cell>
          <cell r="C603" t="str">
            <v>VAR_ncap</v>
          </cell>
          <cell r="D603" t="str">
            <v>-</v>
          </cell>
          <cell r="E603">
            <v>3.3563640771879401E-5</v>
          </cell>
          <cell r="F603">
            <v>2.9490123997003201E-5</v>
          </cell>
          <cell r="G603">
            <v>3.5879279221236701E-5</v>
          </cell>
          <cell r="H603">
            <v>4.1808408458532402E-5</v>
          </cell>
        </row>
        <row r="604">
          <cell r="B604" t="str">
            <v>G-INTC-IMP00-DE</v>
          </cell>
          <cell r="C604" t="str">
            <v>VAR_cap</v>
          </cell>
          <cell r="D604" t="str">
            <v>-</v>
          </cell>
          <cell r="E604">
            <v>2.1429703146066901</v>
          </cell>
          <cell r="F604">
            <v>2.1409727207526501</v>
          </cell>
          <cell r="G604">
            <v>2.1408115064498503</v>
          </cell>
          <cell r="H604">
            <v>2.1407520302579668</v>
          </cell>
        </row>
        <row r="605">
          <cell r="B605" t="str">
            <v>RHEM-SHSTG-CHPWOD</v>
          </cell>
          <cell r="C605" t="str">
            <v>VAR_fout</v>
          </cell>
          <cell r="D605" t="str">
            <v>AUX_REM-CHPWOD_OUT</v>
          </cell>
          <cell r="E605">
            <v>3.9054481809102969E-3</v>
          </cell>
          <cell r="F605">
            <v>2.1301813033081794E-3</v>
          </cell>
          <cell r="G605">
            <v>1.1657336845527239E-3</v>
          </cell>
          <cell r="H605">
            <v>2.0737959937284409E-3</v>
          </cell>
        </row>
        <row r="606">
          <cell r="B606" t="str">
            <v>RHEM-SHSTG-CHPWOD</v>
          </cell>
          <cell r="C606" t="str">
            <v>VAR_fout</v>
          </cell>
          <cell r="D606" t="str">
            <v>RHEM_LTH_CHPWOD</v>
          </cell>
          <cell r="E606">
            <v>3.9054481809102874E-3</v>
          </cell>
          <cell r="F606">
            <v>2.1316014241770475E-3</v>
          </cell>
          <cell r="G606">
            <v>1.1669479904741317E-3</v>
          </cell>
          <cell r="H606">
            <v>2.0737959937284409E-3</v>
          </cell>
        </row>
        <row r="607">
          <cell r="B607" t="str">
            <v>RHEM-SHSTG-CHPWOD</v>
          </cell>
          <cell r="C607" t="str">
            <v>VAR_fin</v>
          </cell>
          <cell r="D607" t="str">
            <v>AUX_REM-CHPWOD_IN</v>
          </cell>
          <cell r="E607">
            <v>2.972821524552631E-3</v>
          </cell>
          <cell r="F607">
            <v>1.5680201513993256E-3</v>
          </cell>
          <cell r="G607">
            <v>9.2539181328800705E-4</v>
          </cell>
          <cell r="H607">
            <v>1.6226539740501781E-3</v>
          </cell>
        </row>
        <row r="608">
          <cell r="B608" t="str">
            <v>RHEM-SHSTG-CHPWOD</v>
          </cell>
          <cell r="C608" t="str">
            <v>VAR_fin</v>
          </cell>
          <cell r="D608" t="str">
            <v>RHEM_LTH_CHPWOD</v>
          </cell>
          <cell r="E608">
            <v>2.972821524552631E-3</v>
          </cell>
          <cell r="F608">
            <v>1.5680201513993256E-3</v>
          </cell>
          <cell r="G608">
            <v>9.2539181328800705E-4</v>
          </cell>
          <cell r="H608">
            <v>1.6226539740501781E-3</v>
          </cell>
        </row>
        <row r="609">
          <cell r="B609" t="str">
            <v>RHEM-SHSTG-CHPWOD</v>
          </cell>
          <cell r="C609" t="str">
            <v>VAR_ncap</v>
          </cell>
          <cell r="D609" t="str">
            <v>-</v>
          </cell>
          <cell r="E609">
            <v>3.8323682551677798E-2</v>
          </cell>
          <cell r="F609">
            <v>9.5992135195716998E-4</v>
          </cell>
          <cell r="G609">
            <v>9.5894178819439695E-4</v>
          </cell>
          <cell r="H609">
            <v>6.8084826936904905E-4</v>
          </cell>
        </row>
        <row r="610">
          <cell r="B610" t="str">
            <v>RHEM-SHSTG-CHPWOD</v>
          </cell>
          <cell r="C610" t="str">
            <v>VAR_cap</v>
          </cell>
          <cell r="D610" t="str">
            <v>-</v>
          </cell>
          <cell r="E610">
            <v>3.8323682551677798E-2</v>
          </cell>
          <cell r="F610">
            <v>3.9153601989167688E-2</v>
          </cell>
          <cell r="G610">
            <v>3.9674672685921938E-2</v>
          </cell>
          <cell r="H610">
            <v>3.9442672628832269E-2</v>
          </cell>
        </row>
        <row r="611">
          <cell r="B611" t="str">
            <v>G-INTC-EXP00-FR</v>
          </cell>
          <cell r="C611" t="str">
            <v>VAR_fout</v>
          </cell>
          <cell r="D611" t="str">
            <v>ELC_E-FR</v>
          </cell>
          <cell r="E611">
            <v>12.753444394505104</v>
          </cell>
          <cell r="F611">
            <v>1.3559253697069708E-2</v>
          </cell>
          <cell r="G611">
            <v>1.4263996112231685E-2</v>
          </cell>
          <cell r="H611">
            <v>6.9464090622277999E-3</v>
          </cell>
        </row>
        <row r="612">
          <cell r="B612" t="str">
            <v>G-INTC-EXP00-FR</v>
          </cell>
          <cell r="C612" t="str">
            <v>VAR_fin</v>
          </cell>
          <cell r="D612" t="str">
            <v>ELC</v>
          </cell>
          <cell r="E612">
            <v>12.753444394505104</v>
          </cell>
          <cell r="F612">
            <v>1.3559253697069708E-2</v>
          </cell>
          <cell r="G612">
            <v>1.4263996112231685E-2</v>
          </cell>
          <cell r="H612">
            <v>6.9464090622277999E-3</v>
          </cell>
        </row>
        <row r="613">
          <cell r="B613" t="str">
            <v>G-INTC-EXP00-FR</v>
          </cell>
          <cell r="C613" t="str">
            <v>VAR_ncap</v>
          </cell>
          <cell r="D613" t="str">
            <v>-</v>
          </cell>
          <cell r="E613">
            <v>3.0503017133107002E-5</v>
          </cell>
          <cell r="F613">
            <v>2.69062636087893E-5</v>
          </cell>
          <cell r="G613">
            <v>4.9393620365216303E-5</v>
          </cell>
          <cell r="H613">
            <v>8.8588504146535805E-4</v>
          </cell>
        </row>
        <row r="614">
          <cell r="B614" t="str">
            <v>G-INTC-EXP00-FR</v>
          </cell>
          <cell r="C614" t="str">
            <v>VAR_cap</v>
          </cell>
          <cell r="D614" t="str">
            <v>-</v>
          </cell>
          <cell r="E614">
            <v>1.2998903917557967</v>
          </cell>
          <cell r="F614">
            <v>2.1275577114650002E-2</v>
          </cell>
          <cell r="G614">
            <v>2.1220686531170152E-2</v>
          </cell>
          <cell r="H614">
            <v>2.1188615974602421E-2</v>
          </cell>
        </row>
        <row r="615">
          <cell r="B615" t="str">
            <v>RHNM-EBAT</v>
          </cell>
          <cell r="C615" t="str">
            <v>VAR_fout</v>
          </cell>
          <cell r="D615" t="str">
            <v>RHNM_ELC</v>
          </cell>
          <cell r="E615">
            <v>2.3255840946931929E-2</v>
          </cell>
          <cell r="F615">
            <v>2.331568338757049E-2</v>
          </cell>
          <cell r="G615">
            <v>4.4670522325057908E-2</v>
          </cell>
          <cell r="H615">
            <v>4.5858800303196987E-2</v>
          </cell>
        </row>
        <row r="616">
          <cell r="B616" t="str">
            <v>RHNM-EBAT</v>
          </cell>
          <cell r="C616" t="str">
            <v>VAR_fout</v>
          </cell>
          <cell r="D616" t="str">
            <v>AUX_RHNM-EBAT_OUT</v>
          </cell>
          <cell r="E616">
            <v>2.3255840946931949E-2</v>
          </cell>
          <cell r="F616">
            <v>2.3315683387570518E-2</v>
          </cell>
          <cell r="G616">
            <v>4.4670522325057957E-2</v>
          </cell>
          <cell r="H616">
            <v>4.5858800303197049E-2</v>
          </cell>
        </row>
        <row r="617">
          <cell r="B617" t="str">
            <v>RHNM-EBAT</v>
          </cell>
          <cell r="C617" t="str">
            <v>VAR_fin</v>
          </cell>
          <cell r="D617" t="str">
            <v>RHNM_ELC</v>
          </cell>
          <cell r="E617">
            <v>2.5834193037824818E-2</v>
          </cell>
          <cell r="F617">
            <v>2.5887641927292388E-2</v>
          </cell>
          <cell r="G617">
            <v>4.9417058574872857E-2</v>
          </cell>
          <cell r="H617">
            <v>5.0727795546664442E-2</v>
          </cell>
        </row>
        <row r="618">
          <cell r="B618" t="str">
            <v>RHNM-EBAT</v>
          </cell>
          <cell r="C618" t="str">
            <v>VAR_fin</v>
          </cell>
          <cell r="D618" t="str">
            <v>AUX_RHNM-EBAT_IN</v>
          </cell>
          <cell r="E618">
            <v>2.5834193037824818E-2</v>
          </cell>
          <cell r="F618">
            <v>2.5887641927292388E-2</v>
          </cell>
          <cell r="G618">
            <v>4.9417058574872857E-2</v>
          </cell>
          <cell r="H618">
            <v>5.0727795546664442E-2</v>
          </cell>
        </row>
        <row r="619">
          <cell r="B619" t="str">
            <v>RHNM-EBAT</v>
          </cell>
          <cell r="C619" t="str">
            <v>VAR_ncap</v>
          </cell>
          <cell r="D619" t="str">
            <v>-</v>
          </cell>
          <cell r="E619">
            <v>9.5987165957651093E-3</v>
          </cell>
          <cell r="F619">
            <v>1.7474198470808201E-5</v>
          </cell>
          <cell r="G619">
            <v>8.7641741502133708E-3</v>
          </cell>
          <cell r="H619">
            <v>2.98465487247449E-3</v>
          </cell>
        </row>
        <row r="620">
          <cell r="B620" t="str">
            <v>RHNM-EBAT</v>
          </cell>
          <cell r="C620" t="str">
            <v>VAR_cap</v>
          </cell>
          <cell r="D620" t="str">
            <v>-</v>
          </cell>
          <cell r="E620">
            <v>9.60082019317904E-3</v>
          </cell>
          <cell r="F620">
            <v>9.6128173699019624E-3</v>
          </cell>
          <cell r="G620">
            <v>1.8364964742929427E-2</v>
          </cell>
          <cell r="H620">
            <v>1.8769142708727607E-2</v>
          </cell>
        </row>
        <row r="621">
          <cell r="B621" t="str">
            <v>ITOT-CHPWST</v>
          </cell>
          <cell r="C621" t="str">
            <v>VAR_fout</v>
          </cell>
          <cell r="D621" t="str">
            <v>ITOT_LTH_CHP</v>
          </cell>
          <cell r="E621">
            <v>1.9356600170775753</v>
          </cell>
          <cell r="F621">
            <v>1.9671878820404487</v>
          </cell>
          <cell r="G621">
            <v>9.6382372040252254E-2</v>
          </cell>
          <cell r="H621">
            <v>9.748796287784349E-2</v>
          </cell>
        </row>
        <row r="622">
          <cell r="B622" t="str">
            <v>ITOT-CHPWST</v>
          </cell>
          <cell r="C622" t="str">
            <v>VAR_fout</v>
          </cell>
          <cell r="D622" t="str">
            <v>ITOT_KEV_WST_ELC_CHP</v>
          </cell>
          <cell r="E622">
            <v>0.23014468712349984</v>
          </cell>
          <cell r="F622">
            <v>0.24358250636368389</v>
          </cell>
          <cell r="G622">
            <v>1.2725045049717524E-2</v>
          </cell>
          <cell r="H622">
            <v>1.446874655622681E-2</v>
          </cell>
        </row>
        <row r="623">
          <cell r="B623" t="str">
            <v>ITOT-CHPWST</v>
          </cell>
          <cell r="C623" t="str">
            <v>VAR_fout</v>
          </cell>
          <cell r="D623" t="str">
            <v>CO2_I</v>
          </cell>
          <cell r="E623">
            <v>344.47952911212599</v>
          </cell>
          <cell r="F623">
            <v>364.70545803169802</v>
          </cell>
          <cell r="G623">
            <v>19.054924548214</v>
          </cell>
          <cell r="H623">
            <v>21.666003763362099</v>
          </cell>
        </row>
        <row r="624">
          <cell r="B624" t="str">
            <v>ITOT-CHPWST</v>
          </cell>
          <cell r="C624" t="str">
            <v>VAR_fin</v>
          </cell>
          <cell r="D624" t="str">
            <v>IWST</v>
          </cell>
          <cell r="E624">
            <v>3.7120638912944655</v>
          </cell>
          <cell r="F624">
            <v>3.9300157115484753</v>
          </cell>
          <cell r="G624">
            <v>0.20533323866609896</v>
          </cell>
          <cell r="H624">
            <v>0.23346986813967852</v>
          </cell>
        </row>
        <row r="625">
          <cell r="B625" t="str">
            <v>ITOT-CHPWST</v>
          </cell>
          <cell r="C625" t="str">
            <v>VAR_ncap</v>
          </cell>
          <cell r="D625" t="str">
            <v>-</v>
          </cell>
          <cell r="F625">
            <v>6.5538495284263599E-6</v>
          </cell>
          <cell r="G625">
            <v>2.8977592202434901E-6</v>
          </cell>
          <cell r="H625">
            <v>1.1165389637362701E-5</v>
          </cell>
        </row>
        <row r="626">
          <cell r="B626" t="str">
            <v>ITOT-CHPWST</v>
          </cell>
          <cell r="C626" t="str">
            <v>VAR_cap</v>
          </cell>
          <cell r="D626" t="str">
            <v>-</v>
          </cell>
          <cell r="E626">
            <v>4.0001951834753802E-2</v>
          </cell>
          <cell r="F626">
            <v>1.0543202720331026E-2</v>
          </cell>
          <cell r="G626">
            <v>4.779181618425471E-3</v>
          </cell>
          <cell r="H626">
            <v>4.287235883088731E-3</v>
          </cell>
        </row>
        <row r="627">
          <cell r="B627" t="str">
            <v>CAES-EBAT</v>
          </cell>
          <cell r="C627" t="str">
            <v>VAR_fout</v>
          </cell>
          <cell r="D627" t="str">
            <v>ELC13</v>
          </cell>
          <cell r="E627">
            <v>9.9717135625453548E-2</v>
          </cell>
          <cell r="F627">
            <v>4.6896170324756133E-2</v>
          </cell>
          <cell r="G627">
            <v>6.7124356785342967E-2</v>
          </cell>
          <cell r="H627">
            <v>9.463092686678605E-2</v>
          </cell>
        </row>
        <row r="628">
          <cell r="B628" t="str">
            <v>CAES-EBAT</v>
          </cell>
          <cell r="C628" t="str">
            <v>VAR_fout</v>
          </cell>
          <cell r="D628" t="str">
            <v>AUX_CAES_OUT</v>
          </cell>
          <cell r="E628">
            <v>9.9717135625453451E-2</v>
          </cell>
          <cell r="F628">
            <v>4.6896170324756077E-2</v>
          </cell>
          <cell r="G628">
            <v>6.7124356785342898E-2</v>
          </cell>
          <cell r="H628">
            <v>9.4630926866785939E-2</v>
          </cell>
        </row>
        <row r="629">
          <cell r="B629" t="str">
            <v>CAES-EBAT</v>
          </cell>
          <cell r="C629" t="str">
            <v>VAR_fin</v>
          </cell>
          <cell r="D629" t="str">
            <v>ELC13</v>
          </cell>
          <cell r="E629">
            <v>0.14259270360686971</v>
          </cell>
          <cell r="F629">
            <v>6.7111088028825455E-2</v>
          </cell>
          <cell r="G629">
            <v>9.591150856597179E-2</v>
          </cell>
          <cell r="H629">
            <v>0.13523474292896367</v>
          </cell>
        </row>
        <row r="630">
          <cell r="B630" t="str">
            <v>CAES-EBAT</v>
          </cell>
          <cell r="C630" t="str">
            <v>VAR_fin</v>
          </cell>
          <cell r="D630" t="str">
            <v>AUX_CAES_IN</v>
          </cell>
          <cell r="E630">
            <v>0.14259270360686971</v>
          </cell>
          <cell r="F630">
            <v>6.7111088028825455E-2</v>
          </cell>
          <cell r="G630">
            <v>9.591150856597179E-2</v>
          </cell>
          <cell r="H630">
            <v>0.13523474292896367</v>
          </cell>
        </row>
        <row r="631">
          <cell r="B631" t="str">
            <v>CAES-EBAT</v>
          </cell>
          <cell r="C631" t="str">
            <v>VAR_ncap</v>
          </cell>
          <cell r="D631" t="str">
            <v>-</v>
          </cell>
          <cell r="F631">
            <v>9.8710089689859603E-6</v>
          </cell>
          <cell r="G631">
            <v>1.01942253928081E-5</v>
          </cell>
          <cell r="H631">
            <v>9.7242591239973706E-6</v>
          </cell>
        </row>
        <row r="632">
          <cell r="B632" t="str">
            <v>CAES-EBAT</v>
          </cell>
          <cell r="C632" t="str">
            <v>VAR_cap</v>
          </cell>
          <cell r="D632" t="str">
            <v>-</v>
          </cell>
          <cell r="E632">
            <v>0.1</v>
          </cell>
          <cell r="F632">
            <v>9.997276009901121E-2</v>
          </cell>
          <cell r="G632">
            <v>9.9969443633639521E-2</v>
          </cell>
          <cell r="H632">
            <v>9.997017813003288E-2</v>
          </cell>
        </row>
        <row r="633">
          <cell r="B633" t="str">
            <v>HPLSOL</v>
          </cell>
          <cell r="C633" t="str">
            <v>VAR_fout</v>
          </cell>
          <cell r="D633" t="str">
            <v>LTH</v>
          </cell>
          <cell r="H633">
            <v>1.2798217833901015E-3</v>
          </cell>
        </row>
        <row r="634">
          <cell r="B634" t="str">
            <v>HPLSOL</v>
          </cell>
          <cell r="C634" t="str">
            <v>VAR_fin</v>
          </cell>
          <cell r="D634" t="str">
            <v>SOL</v>
          </cell>
          <cell r="H634">
            <v>1.2798217833901015E-3</v>
          </cell>
        </row>
        <row r="635">
          <cell r="B635" t="str">
            <v>HPLSOL</v>
          </cell>
          <cell r="C635" t="str">
            <v>VAR_fin</v>
          </cell>
          <cell r="D635" t="str">
            <v>SOLPVC</v>
          </cell>
          <cell r="H635">
            <v>1.2798217833901E-3</v>
          </cell>
        </row>
        <row r="636">
          <cell r="B636" t="str">
            <v>HPLSOL</v>
          </cell>
          <cell r="C636" t="str">
            <v>VAR_ncap</v>
          </cell>
          <cell r="D636" t="str">
            <v>-</v>
          </cell>
          <cell r="H636">
            <v>2.64029368580119E-4</v>
          </cell>
        </row>
        <row r="637">
          <cell r="B637" t="str">
            <v>HPLSOL</v>
          </cell>
          <cell r="C637" t="str">
            <v>VAR_cap</v>
          </cell>
          <cell r="D637" t="str">
            <v>-</v>
          </cell>
          <cell r="H637">
            <v>2.64029368580119E-4</v>
          </cell>
        </row>
        <row r="638">
          <cell r="B638" t="str">
            <v>RHEM-CHPNGA</v>
          </cell>
          <cell r="C638" t="str">
            <v>VAR_fout</v>
          </cell>
          <cell r="D638" t="str">
            <v>CO2_R</v>
          </cell>
          <cell r="E638">
            <v>23.080205764433298</v>
          </cell>
          <cell r="F638">
            <v>2.3539809106699998</v>
          </cell>
          <cell r="G638">
            <v>7.79838475670996</v>
          </cell>
        </row>
        <row r="639">
          <cell r="B639" t="str">
            <v>RHEM-CHPNGA</v>
          </cell>
          <cell r="C639" t="str">
            <v>VAR_fout</v>
          </cell>
          <cell r="D639" t="str">
            <v>RHEM_LTH_CHPNGA</v>
          </cell>
          <cell r="E639">
            <v>0.11441667339215134</v>
          </cell>
          <cell r="F639">
            <v>2.4640826792749652E-2</v>
          </cell>
          <cell r="G639">
            <v>5.5667914655761805E-2</v>
          </cell>
        </row>
        <row r="640">
          <cell r="B640" t="str">
            <v>RHEM-CHPNGA</v>
          </cell>
          <cell r="C640" t="str">
            <v>VAR_fout</v>
          </cell>
          <cell r="D640" t="str">
            <v>RHEM_NKEV_GAS_ELC_CHP</v>
          </cell>
          <cell r="E640">
            <v>5.2667992513847454E-2</v>
          </cell>
          <cell r="F640">
            <v>1.1454113758117206E-2</v>
          </cell>
          <cell r="G640">
            <v>2.6264146285527507E-2</v>
          </cell>
        </row>
        <row r="641">
          <cell r="B641" t="str">
            <v>RHEM-CHPNGA</v>
          </cell>
          <cell r="C641" t="str">
            <v>VAR_fin</v>
          </cell>
          <cell r="D641" t="str">
            <v>RNGA</v>
          </cell>
          <cell r="E641">
            <v>0.40922350646158312</v>
          </cell>
          <cell r="F641">
            <v>4.173725018918438E-2</v>
          </cell>
          <cell r="G641">
            <v>0.13826923327499935</v>
          </cell>
        </row>
        <row r="642">
          <cell r="B642" t="str">
            <v>RHEM-CHPNGA</v>
          </cell>
          <cell r="C642" t="str">
            <v>VAR_ncap</v>
          </cell>
          <cell r="D642" t="str">
            <v>-</v>
          </cell>
          <cell r="F642">
            <v>3.2920601206146901E-6</v>
          </cell>
        </row>
        <row r="643">
          <cell r="B643" t="str">
            <v>RHEM-CHPNGA</v>
          </cell>
          <cell r="C643" t="str">
            <v>VAR_cap</v>
          </cell>
          <cell r="D643" t="str">
            <v>-</v>
          </cell>
          <cell r="E643">
            <v>1.2036453705936865E-2</v>
          </cell>
          <cell r="F643">
            <v>3.4184446638088764E-3</v>
          </cell>
          <cell r="G643">
            <v>3.354731753565706E-3</v>
          </cell>
          <cell r="H643">
            <v>2.0220461491545962E-3</v>
          </cell>
        </row>
        <row r="644">
          <cell r="B644" t="str">
            <v>D-DH2</v>
          </cell>
          <cell r="C644" t="str">
            <v>VAR_fout</v>
          </cell>
          <cell r="D644" t="str">
            <v>H2</v>
          </cell>
          <cell r="H644">
            <v>1.2990698181662011E-4</v>
          </cell>
        </row>
        <row r="645">
          <cell r="B645" t="str">
            <v>D-DH2</v>
          </cell>
          <cell r="C645" t="str">
            <v>VAR_fin</v>
          </cell>
          <cell r="D645" t="str">
            <v>H2_E</v>
          </cell>
          <cell r="H645">
            <v>1.3121917355214154E-4</v>
          </cell>
        </row>
        <row r="646">
          <cell r="B646" t="str">
            <v>D-DH2</v>
          </cell>
          <cell r="C646" t="str">
            <v>VAR_ncap</v>
          </cell>
          <cell r="D646" t="str">
            <v>-</v>
          </cell>
          <cell r="H646">
            <v>7.66403628444295E-4</v>
          </cell>
        </row>
        <row r="647">
          <cell r="B647" t="str">
            <v>D-DH2</v>
          </cell>
          <cell r="C647" t="str">
            <v>VAR_cap</v>
          </cell>
          <cell r="D647" t="str">
            <v>-</v>
          </cell>
          <cell r="H647">
            <v>7.66403628444295E-4</v>
          </cell>
        </row>
        <row r="648">
          <cell r="B648" t="str">
            <v>D-SBIO</v>
          </cell>
          <cell r="C648" t="str">
            <v>VAR_fout</v>
          </cell>
          <cell r="D648" t="str">
            <v>SBIO</v>
          </cell>
          <cell r="E648">
            <v>4.0479078015955148</v>
          </cell>
          <cell r="F648">
            <v>4.5874623138564417</v>
          </cell>
          <cell r="G648">
            <v>3.0613866770378437</v>
          </cell>
          <cell r="H648">
            <v>3.0405769708236456</v>
          </cell>
        </row>
        <row r="649">
          <cell r="B649" t="str">
            <v>D-SBIO</v>
          </cell>
          <cell r="C649" t="str">
            <v>VAR_fin</v>
          </cell>
          <cell r="D649" t="str">
            <v>BIO</v>
          </cell>
          <cell r="E649">
            <v>4.0479078015955148</v>
          </cell>
          <cell r="F649">
            <v>4.5874623138564417</v>
          </cell>
          <cell r="G649">
            <v>3.0613866770378437</v>
          </cell>
          <cell r="H649">
            <v>3.0405769708236456</v>
          </cell>
        </row>
        <row r="650">
          <cell r="B650" t="str">
            <v>SCOM-CHPBIO</v>
          </cell>
          <cell r="C650" t="str">
            <v>VAR_fout</v>
          </cell>
          <cell r="D650" t="str">
            <v>SCOM_LTH_CHPBIO</v>
          </cell>
          <cell r="E650">
            <v>1.4244197113477317</v>
          </cell>
          <cell r="F650">
            <v>1.5790260566022303</v>
          </cell>
          <cell r="G650">
            <v>1.4835438423017189</v>
          </cell>
          <cell r="H650">
            <v>1.3249726680492411</v>
          </cell>
        </row>
        <row r="651">
          <cell r="B651" t="str">
            <v>SCOM-CHPBIO</v>
          </cell>
          <cell r="C651" t="str">
            <v>VAR_fout</v>
          </cell>
          <cell r="D651" t="str">
            <v>SCOM_KEV_BIO_ELC_CHP</v>
          </cell>
          <cell r="E651">
            <v>0.95943960649442961</v>
          </cell>
          <cell r="F651">
            <v>1.1064357631516968</v>
          </cell>
          <cell r="G651">
            <v>1.1064075775951663</v>
          </cell>
          <cell r="H651">
            <v>1.1068242607460734</v>
          </cell>
        </row>
        <row r="652">
          <cell r="B652" t="str">
            <v>SCOM-CHPBIO</v>
          </cell>
          <cell r="C652" t="str">
            <v>VAR_fin</v>
          </cell>
          <cell r="D652" t="str">
            <v>SBIO</v>
          </cell>
          <cell r="E652">
            <v>2.6455257427952419</v>
          </cell>
          <cell r="F652">
            <v>3.0501497583617807</v>
          </cell>
          <cell r="G652">
            <v>3.0613866770378437</v>
          </cell>
          <cell r="H652">
            <v>3.0405769708236456</v>
          </cell>
        </row>
        <row r="653">
          <cell r="B653" t="str">
            <v>SCOM-CHPBIO</v>
          </cell>
          <cell r="C653" t="str">
            <v>VAR_ncap</v>
          </cell>
          <cell r="D653" t="str">
            <v>-</v>
          </cell>
          <cell r="F653">
            <v>2.6269355026159E-2</v>
          </cell>
          <cell r="G653">
            <v>6.6458896458788802E-3</v>
          </cell>
          <cell r="H653">
            <v>1.2345629759013E-2</v>
          </cell>
        </row>
        <row r="654">
          <cell r="B654" t="str">
            <v>SCOM-CHPBIO</v>
          </cell>
          <cell r="C654" t="str">
            <v>VAR_cap</v>
          </cell>
          <cell r="D654" t="str">
            <v>-</v>
          </cell>
          <cell r="E654">
            <v>7.3508874322882001E-2</v>
          </cell>
          <cell r="F654">
            <v>8.4809279494260148E-2</v>
          </cell>
          <cell r="G654">
            <v>8.4799500733820837E-2</v>
          </cell>
          <cell r="H654">
            <v>8.49347801261357E-2</v>
          </cell>
        </row>
        <row r="655">
          <cell r="B655" t="str">
            <v>SCOM-CHPHFC</v>
          </cell>
          <cell r="C655" t="str">
            <v>VAR_fout</v>
          </cell>
          <cell r="D655" t="str">
            <v>SCOM_KEV_HFC_ELC_CHP</v>
          </cell>
          <cell r="H655">
            <v>4.153084339351247E-2</v>
          </cell>
        </row>
        <row r="656">
          <cell r="B656" t="str">
            <v>SCOM-CHPHFC</v>
          </cell>
          <cell r="C656" t="str">
            <v>VAR_fout</v>
          </cell>
          <cell r="D656" t="str">
            <v>SCOM_LTH_CHPHFC</v>
          </cell>
          <cell r="H656">
            <v>3.125742423827519E-2</v>
          </cell>
        </row>
        <row r="657">
          <cell r="B657" t="str">
            <v>SCOM-CHPHFC</v>
          </cell>
          <cell r="C657" t="str">
            <v>VAR_fin</v>
          </cell>
          <cell r="D657" t="str">
            <v>RSH2</v>
          </cell>
          <cell r="H657">
            <v>8.7433354512657865E-2</v>
          </cell>
        </row>
        <row r="658">
          <cell r="B658" t="str">
            <v>SCOM-CHPHFC</v>
          </cell>
          <cell r="C658" t="str">
            <v>VAR_ncap</v>
          </cell>
          <cell r="D658" t="str">
            <v>-</v>
          </cell>
          <cell r="H658">
            <v>2.5823633226281801E-3</v>
          </cell>
        </row>
        <row r="659">
          <cell r="B659" t="str">
            <v>SCOM-CHPHFC</v>
          </cell>
          <cell r="C659" t="str">
            <v>VAR_cap</v>
          </cell>
          <cell r="D659" t="str">
            <v>-</v>
          </cell>
          <cell r="H659">
            <v>2.5823633226281801E-3</v>
          </cell>
        </row>
        <row r="660">
          <cell r="B660" t="str">
            <v>RHES-EBAT</v>
          </cell>
          <cell r="C660" t="str">
            <v>VAR_fout</v>
          </cell>
          <cell r="D660" t="str">
            <v>RHES_ELC</v>
          </cell>
          <cell r="E660">
            <v>2.5639332895894918E-2</v>
          </cell>
          <cell r="F660">
            <v>2.5701559750869827E-2</v>
          </cell>
          <cell r="G660">
            <v>0.143131270577526</v>
          </cell>
          <cell r="H660">
            <v>0.40764841554469172</v>
          </cell>
        </row>
        <row r="661">
          <cell r="B661" t="str">
            <v>RHES-EBAT</v>
          </cell>
          <cell r="C661" t="str">
            <v>VAR_fout</v>
          </cell>
          <cell r="D661" t="str">
            <v>AUX_RHES-EBAT_OUT</v>
          </cell>
          <cell r="E661">
            <v>2.5639332895894946E-2</v>
          </cell>
          <cell r="F661">
            <v>2.5701559750869855E-2</v>
          </cell>
          <cell r="G661">
            <v>0.14313127057752625</v>
          </cell>
          <cell r="H661">
            <v>0.40764841554469211</v>
          </cell>
        </row>
        <row r="662">
          <cell r="B662" t="str">
            <v>RHES-EBAT</v>
          </cell>
          <cell r="C662" t="str">
            <v>VAR_fin</v>
          </cell>
          <cell r="D662" t="str">
            <v>RHES_ELC</v>
          </cell>
          <cell r="E662">
            <v>2.8470012876598613E-2</v>
          </cell>
          <cell r="F662">
            <v>2.8526098605937182E-2</v>
          </cell>
          <cell r="G662">
            <v>0.15830143520096032</v>
          </cell>
          <cell r="H662">
            <v>0.45081819473150281</v>
          </cell>
        </row>
        <row r="663">
          <cell r="B663" t="str">
            <v>RHES-EBAT</v>
          </cell>
          <cell r="C663" t="str">
            <v>VAR_fin</v>
          </cell>
          <cell r="D663" t="str">
            <v>AUX_RHES-EBAT_IN</v>
          </cell>
          <cell r="E663">
            <v>2.8470012876598613E-2</v>
          </cell>
          <cell r="F663">
            <v>2.8526098605937182E-2</v>
          </cell>
          <cell r="G663">
            <v>0.15830143520096032</v>
          </cell>
          <cell r="H663">
            <v>0.45081819473150281</v>
          </cell>
        </row>
        <row r="664">
          <cell r="B664" t="str">
            <v>RHES-EBAT</v>
          </cell>
          <cell r="C664" t="str">
            <v>VAR_ncap</v>
          </cell>
          <cell r="D664" t="str">
            <v>-</v>
          </cell>
          <cell r="E664">
            <v>1.0592596248740699E-2</v>
          </cell>
          <cell r="F664">
            <v>2.1619630692106001E-5</v>
          </cell>
          <cell r="G664">
            <v>6.6132929504846394E-2</v>
          </cell>
          <cell r="H664">
            <v>9.3089377740268001E-2</v>
          </cell>
        </row>
        <row r="665">
          <cell r="B665" t="str">
            <v>RHES-EBAT</v>
          </cell>
          <cell r="C665" t="str">
            <v>VAR_cap</v>
          </cell>
          <cell r="D665" t="str">
            <v>-</v>
          </cell>
          <cell r="E665">
            <v>1.0594701737980439E-2</v>
          </cell>
          <cell r="F665">
            <v>1.0610940962960771E-2</v>
          </cell>
          <cell r="G665">
            <v>7.6734021369247937E-2</v>
          </cell>
          <cell r="H665">
            <v>0.16697480735580122</v>
          </cell>
        </row>
        <row r="666">
          <cell r="B666" t="str">
            <v>D-INGA</v>
          </cell>
          <cell r="C666" t="str">
            <v>VAR_fout</v>
          </cell>
          <cell r="D666" t="str">
            <v>CO2</v>
          </cell>
          <cell r="E666">
            <v>2112.5202690565902</v>
          </cell>
          <cell r="F666">
            <v>1841.5167163055601</v>
          </cell>
          <cell r="G666">
            <v>1915.4340317082499</v>
          </cell>
          <cell r="H666">
            <v>1172.48043042719</v>
          </cell>
        </row>
        <row r="667">
          <cell r="B667" t="str">
            <v>D-INGA</v>
          </cell>
          <cell r="C667" t="str">
            <v>VAR_fout</v>
          </cell>
          <cell r="D667" t="str">
            <v>IH2</v>
          </cell>
        </row>
        <row r="668">
          <cell r="B668" t="str">
            <v>D-INGA</v>
          </cell>
          <cell r="C668" t="str">
            <v>VAR_fout</v>
          </cell>
          <cell r="D668" t="str">
            <v>INGA</v>
          </cell>
          <cell r="E668">
            <v>37.653615154402253</v>
          </cell>
          <cell r="F668">
            <v>32.548930473134021</v>
          </cell>
          <cell r="G668">
            <v>36.221152998557265</v>
          </cell>
          <cell r="H668">
            <v>23.088687101288528</v>
          </cell>
        </row>
        <row r="669">
          <cell r="B669" t="str">
            <v>D-INGA</v>
          </cell>
          <cell r="C669" t="str">
            <v>VAR_fin</v>
          </cell>
          <cell r="D669" t="str">
            <v>NGA</v>
          </cell>
          <cell r="E669">
            <v>37.456033139301184</v>
          </cell>
          <cell r="F669">
            <v>32.651005608254586</v>
          </cell>
          <cell r="G669">
            <v>33.961596306883877</v>
          </cell>
          <cell r="H669">
            <v>20.788660113957238</v>
          </cell>
        </row>
        <row r="670">
          <cell r="B670" t="str">
            <v>D-INGA</v>
          </cell>
          <cell r="C670" t="str">
            <v>VAR_fin</v>
          </cell>
          <cell r="D670" t="str">
            <v>BNGA</v>
          </cell>
          <cell r="E670">
            <v>0.31787099163468469</v>
          </cell>
          <cell r="F670">
            <v>3.424517107988538E-3</v>
          </cell>
          <cell r="G670">
            <v>2.3752694965447527</v>
          </cell>
          <cell r="H670">
            <v>2.3755356612297041</v>
          </cell>
        </row>
        <row r="671">
          <cell r="B671" t="str">
            <v>D-INGA</v>
          </cell>
          <cell r="C671" t="str">
            <v>VAR_fin</v>
          </cell>
          <cell r="D671" t="str">
            <v>H2</v>
          </cell>
        </row>
        <row r="672">
          <cell r="B672" t="str">
            <v>D-INGA</v>
          </cell>
          <cell r="C672" t="str">
            <v>VAR_ncap</v>
          </cell>
          <cell r="D672" t="str">
            <v>-</v>
          </cell>
          <cell r="E672">
            <v>5.5158831164173697E-5</v>
          </cell>
          <cell r="F672">
            <v>1.23665487383722E-5</v>
          </cell>
          <cell r="G672">
            <v>1.49201713848045E-5</v>
          </cell>
          <cell r="H672">
            <v>1.96324156417171E-5</v>
          </cell>
        </row>
        <row r="673">
          <cell r="B673" t="str">
            <v>D-INGA</v>
          </cell>
          <cell r="C673" t="str">
            <v>VAR_cap</v>
          </cell>
          <cell r="D673" t="str">
            <v>-</v>
          </cell>
          <cell r="E673">
            <v>1.9845385290972641</v>
          </cell>
          <cell r="F673">
            <v>1.9845508956460025</v>
          </cell>
          <cell r="G673">
            <v>1.9845658158173873</v>
          </cell>
          <cell r="H673">
            <v>1.984585448233029</v>
          </cell>
        </row>
        <row r="674">
          <cell r="B674" t="str">
            <v>EWIND</v>
          </cell>
          <cell r="C674" t="str">
            <v>VAR_fout</v>
          </cell>
          <cell r="D674" t="str">
            <v>ELC35</v>
          </cell>
          <cell r="E674">
            <v>0.52400000000000047</v>
          </cell>
          <cell r="F674">
            <v>0.54530775595618142</v>
          </cell>
          <cell r="G674">
            <v>0.50318035428973074</v>
          </cell>
          <cell r="H674">
            <v>2.0503052471689203</v>
          </cell>
        </row>
        <row r="675">
          <cell r="B675" t="str">
            <v>EWIND</v>
          </cell>
          <cell r="C675" t="str">
            <v>VAR_fin</v>
          </cell>
          <cell r="D675" t="str">
            <v>WND</v>
          </cell>
          <cell r="E675">
            <v>0.52400000000000047</v>
          </cell>
          <cell r="F675">
            <v>0.54530775595618142</v>
          </cell>
          <cell r="G675">
            <v>0.50318035428973074</v>
          </cell>
          <cell r="H675">
            <v>2.0503052471689203</v>
          </cell>
        </row>
        <row r="676">
          <cell r="B676" t="str">
            <v>EWIND</v>
          </cell>
          <cell r="C676" t="str">
            <v>VAR_ncap</v>
          </cell>
          <cell r="D676" t="str">
            <v>-</v>
          </cell>
          <cell r="F676">
            <v>7.1347297093900097E-3</v>
          </cell>
          <cell r="G676">
            <v>0.29201248831448601</v>
          </cell>
          <cell r="H676">
            <v>0.28589390713535401</v>
          </cell>
        </row>
        <row r="677">
          <cell r="B677" t="str">
            <v>EWIND</v>
          </cell>
          <cell r="C677" t="str">
            <v>VAR_cap</v>
          </cell>
          <cell r="D677" t="str">
            <v>-</v>
          </cell>
          <cell r="E677">
            <v>8.7120000000000003E-2</v>
          </cell>
          <cell r="F677">
            <v>9.0662617745997209E-2</v>
          </cell>
          <cell r="G677">
            <v>8.365853523992621E-2</v>
          </cell>
          <cell r="H677">
            <v>0.34088408587087532</v>
          </cell>
        </row>
        <row r="678">
          <cell r="B678" t="str">
            <v>EGEO</v>
          </cell>
          <cell r="C678" t="str">
            <v>VAR_fout</v>
          </cell>
          <cell r="D678" t="str">
            <v>ELC35</v>
          </cell>
        </row>
        <row r="679">
          <cell r="B679" t="str">
            <v>EGEO</v>
          </cell>
          <cell r="C679" t="str">
            <v>VAR_fin</v>
          </cell>
          <cell r="D679" t="str">
            <v>GEO</v>
          </cell>
        </row>
        <row r="680">
          <cell r="B680" t="str">
            <v>EGEO</v>
          </cell>
          <cell r="C680" t="str">
            <v>VAR_ncap</v>
          </cell>
          <cell r="D680" t="str">
            <v>-</v>
          </cell>
        </row>
        <row r="681">
          <cell r="B681" t="str">
            <v>EGEO</v>
          </cell>
          <cell r="C681" t="str">
            <v>VAR_cap</v>
          </cell>
          <cell r="D681" t="str">
            <v>-</v>
          </cell>
        </row>
        <row r="682">
          <cell r="B682" t="str">
            <v>D-SPLT</v>
          </cell>
          <cell r="C682" t="str">
            <v>VAR_fout</v>
          </cell>
          <cell r="D682" t="str">
            <v>SPLT</v>
          </cell>
          <cell r="E682">
            <v>2.085722942349133</v>
          </cell>
          <cell r="F682">
            <v>2.4001397450892603</v>
          </cell>
          <cell r="G682">
            <v>0.55263559063612044</v>
          </cell>
          <cell r="H682">
            <v>0.71187208479320641</v>
          </cell>
        </row>
        <row r="683">
          <cell r="B683" t="str">
            <v>D-SPLT</v>
          </cell>
          <cell r="C683" t="str">
            <v>VAR_fin</v>
          </cell>
          <cell r="D683" t="str">
            <v>PLT</v>
          </cell>
          <cell r="E683">
            <v>2.085722942349133</v>
          </cell>
          <cell r="F683">
            <v>2.4001397450892603</v>
          </cell>
          <cell r="G683">
            <v>0.55263559063612044</v>
          </cell>
          <cell r="H683">
            <v>0.71187208479320641</v>
          </cell>
        </row>
        <row r="684">
          <cell r="B684" t="str">
            <v>RHES-ESOLPV</v>
          </cell>
          <cell r="C684" t="str">
            <v>VAR_fout</v>
          </cell>
          <cell r="D684" t="str">
            <v>RHES_SOL_ELC</v>
          </cell>
          <cell r="E684">
            <v>2.1349390887346629</v>
          </cell>
          <cell r="F684">
            <v>3.3906692602685045</v>
          </cell>
          <cell r="G684">
            <v>4.0412763601488066</v>
          </cell>
          <cell r="H684">
            <v>4.3534837595851377</v>
          </cell>
        </row>
        <row r="685">
          <cell r="B685" t="str">
            <v>RHES-ESOLPV</v>
          </cell>
          <cell r="C685" t="str">
            <v>VAR_fin</v>
          </cell>
          <cell r="D685" t="str">
            <v>SOL</v>
          </cell>
          <cell r="E685">
            <v>2.1349390887346629</v>
          </cell>
          <cell r="F685">
            <v>3.3906692602685045</v>
          </cell>
          <cell r="G685">
            <v>4.0412763601488066</v>
          </cell>
          <cell r="H685">
            <v>4.3534837595851377</v>
          </cell>
        </row>
        <row r="686">
          <cell r="B686" t="str">
            <v>RHES-ESOLPV</v>
          </cell>
          <cell r="C686" t="str">
            <v>VAR_fin</v>
          </cell>
          <cell r="D686" t="str">
            <v>SOLPVC</v>
          </cell>
          <cell r="E686">
            <v>2.1349390887346602</v>
          </cell>
          <cell r="F686">
            <v>3.3906692602685</v>
          </cell>
          <cell r="G686">
            <v>4.0412763601488004</v>
          </cell>
          <cell r="H686">
            <v>4.3534837595851403</v>
          </cell>
        </row>
        <row r="687">
          <cell r="B687" t="str">
            <v>RHES-ESOLPV</v>
          </cell>
          <cell r="C687" t="str">
            <v>VAR_ncap</v>
          </cell>
          <cell r="D687" t="str">
            <v>-</v>
          </cell>
          <cell r="F687">
            <v>1.40140550392532E-6</v>
          </cell>
          <cell r="G687">
            <v>2.5604936285693298E-4</v>
          </cell>
          <cell r="H687">
            <v>2.45845463530846E-3</v>
          </cell>
        </row>
        <row r="688">
          <cell r="B688" t="str">
            <v>RHES-ESOLPV</v>
          </cell>
          <cell r="C688" t="str">
            <v>VAR_cap</v>
          </cell>
          <cell r="D688" t="str">
            <v>-</v>
          </cell>
          <cell r="E688">
            <v>0.67885700000000004</v>
          </cell>
          <cell r="F688">
            <v>1.1559013190836538</v>
          </cell>
          <cell r="G688">
            <v>1.2894144507683609</v>
          </cell>
          <cell r="H688">
            <v>1.2549900704600494</v>
          </cell>
        </row>
        <row r="689">
          <cell r="B689" t="str">
            <v>SUP_DAC</v>
          </cell>
          <cell r="C689" t="str">
            <v>VAR_fout</v>
          </cell>
          <cell r="D689" t="str">
            <v>CO2_O</v>
          </cell>
        </row>
        <row r="690">
          <cell r="B690" t="str">
            <v>SUP_DAC</v>
          </cell>
          <cell r="C690" t="str">
            <v>VAR_fout</v>
          </cell>
          <cell r="D690" t="str">
            <v>CO2</v>
          </cell>
        </row>
        <row r="691">
          <cell r="B691" t="str">
            <v>SUP_DAC</v>
          </cell>
          <cell r="C691" t="str">
            <v>VAR_fin</v>
          </cell>
          <cell r="D691" t="str">
            <v>CHEAT</v>
          </cell>
        </row>
        <row r="692">
          <cell r="B692" t="str">
            <v>SUP_DAC</v>
          </cell>
          <cell r="C692" t="str">
            <v>VAR_fin</v>
          </cell>
          <cell r="D692" t="str">
            <v>CELC</v>
          </cell>
        </row>
        <row r="693">
          <cell r="B693" t="str">
            <v>SUP_DAC</v>
          </cell>
          <cell r="C693" t="str">
            <v>VAR_ncap</v>
          </cell>
          <cell r="D693" t="str">
            <v>-</v>
          </cell>
        </row>
        <row r="694">
          <cell r="B694" t="str">
            <v>SUP_DAC</v>
          </cell>
          <cell r="C694" t="str">
            <v>VAR_cap</v>
          </cell>
          <cell r="D694" t="str">
            <v>-</v>
          </cell>
        </row>
        <row r="695">
          <cell r="B695" t="str">
            <v>EHYD-DAM10</v>
          </cell>
          <cell r="C695" t="str">
            <v>VAR_fout</v>
          </cell>
          <cell r="D695" t="str">
            <v>ELC</v>
          </cell>
          <cell r="F695">
            <v>0.44540008905421791</v>
          </cell>
          <cell r="G695">
            <v>0.681300169274901</v>
          </cell>
          <cell r="H695">
            <v>0.71718505516123821</v>
          </cell>
        </row>
        <row r="696">
          <cell r="B696" t="str">
            <v>EHYD-DAM10</v>
          </cell>
          <cell r="C696" t="str">
            <v>VAR_fin</v>
          </cell>
          <cell r="D696" t="str">
            <v>HYDD</v>
          </cell>
          <cell r="F696">
            <v>0.44540008905421791</v>
          </cell>
          <cell r="G696">
            <v>0.681300169274901</v>
          </cell>
          <cell r="H696">
            <v>0.71718505516123821</v>
          </cell>
        </row>
        <row r="697">
          <cell r="B697" t="str">
            <v>EHYD-DAM10</v>
          </cell>
          <cell r="C697" t="str">
            <v>VAR_ncap</v>
          </cell>
          <cell r="D697" t="str">
            <v>-</v>
          </cell>
          <cell r="F697">
            <v>5.7164704279135302E-2</v>
          </cell>
          <cell r="G697">
            <v>1.68347915442007E-2</v>
          </cell>
          <cell r="H697">
            <v>9.8922040616506698E-5</v>
          </cell>
        </row>
        <row r="698">
          <cell r="B698" t="str">
            <v>EHYD-DAM10</v>
          </cell>
          <cell r="C698" t="str">
            <v>VAR_cap</v>
          </cell>
          <cell r="D698" t="str">
            <v>-</v>
          </cell>
          <cell r="F698">
            <v>5.7164704279135302E-2</v>
          </cell>
          <cell r="G698">
            <v>7.3999495823335995E-2</v>
          </cell>
          <cell r="H698">
            <v>7.4098417863952507E-2</v>
          </cell>
        </row>
        <row r="699">
          <cell r="B699" t="str">
            <v>DH-EBAT</v>
          </cell>
          <cell r="C699" t="str">
            <v>VAR_fout</v>
          </cell>
          <cell r="D699" t="str">
            <v>ELC35</v>
          </cell>
          <cell r="E699">
            <v>6.6159788967022293E-2</v>
          </cell>
          <cell r="F699">
            <v>5.603376658909813E-2</v>
          </cell>
          <cell r="G699">
            <v>5.776570356781402E-2</v>
          </cell>
          <cell r="H699">
            <v>0.12783120503251952</v>
          </cell>
        </row>
        <row r="700">
          <cell r="B700" t="str">
            <v>DH-EBAT</v>
          </cell>
          <cell r="C700" t="str">
            <v>VAR_fout</v>
          </cell>
          <cell r="D700" t="str">
            <v>AUX_DH-EBAT_OUT</v>
          </cell>
          <cell r="E700">
            <v>6.6159788967022265E-2</v>
          </cell>
          <cell r="F700">
            <v>5.6033766589098116E-2</v>
          </cell>
          <cell r="G700">
            <v>5.7765703567814006E-2</v>
          </cell>
          <cell r="H700">
            <v>0.12783120503251949</v>
          </cell>
        </row>
        <row r="701">
          <cell r="B701" t="str">
            <v>DH-EBAT</v>
          </cell>
          <cell r="C701" t="str">
            <v>VAR_fin</v>
          </cell>
          <cell r="D701" t="str">
            <v>ELC35</v>
          </cell>
          <cell r="E701">
            <v>7.3999378163524338E-2</v>
          </cell>
          <cell r="F701">
            <v>6.2665356006377029E-2</v>
          </cell>
          <cell r="G701">
            <v>6.4617068089746862E-2</v>
          </cell>
          <cell r="H701">
            <v>0.14298741531296721</v>
          </cell>
        </row>
        <row r="702">
          <cell r="B702" t="str">
            <v>DH-EBAT</v>
          </cell>
          <cell r="C702" t="str">
            <v>VAR_fin</v>
          </cell>
          <cell r="D702" t="str">
            <v>AUX_DH-EBAT_IN</v>
          </cell>
          <cell r="E702">
            <v>7.3999378163524338E-2</v>
          </cell>
          <cell r="F702">
            <v>6.2665356006377029E-2</v>
          </cell>
          <cell r="G702">
            <v>6.4617068089746862E-2</v>
          </cell>
          <cell r="H702">
            <v>0.14298741531296721</v>
          </cell>
        </row>
        <row r="703">
          <cell r="B703" t="str">
            <v>DH-EBAT</v>
          </cell>
          <cell r="C703" t="str">
            <v>VAR_ncap</v>
          </cell>
          <cell r="D703" t="str">
            <v>-</v>
          </cell>
          <cell r="E703">
            <v>9.6401009126476107E-3</v>
          </cell>
          <cell r="F703">
            <v>1.6638496562853701E-5</v>
          </cell>
          <cell r="G703">
            <v>1.19894829257338E-4</v>
          </cell>
          <cell r="H703">
            <v>1.0479613311352101E-2</v>
          </cell>
        </row>
        <row r="704">
          <cell r="B704" t="str">
            <v>DH-EBAT</v>
          </cell>
          <cell r="C704" t="str">
            <v>VAR_cap</v>
          </cell>
          <cell r="D704" t="str">
            <v>-</v>
          </cell>
          <cell r="E704">
            <v>9.6401009126476107E-3</v>
          </cell>
          <cell r="F704">
            <v>9.6497167756319675E-3</v>
          </cell>
          <cell r="G704">
            <v>9.7586707475158276E-3</v>
          </cell>
          <cell r="H704">
            <v>1.7650283203251058E-2</v>
          </cell>
        </row>
        <row r="705">
          <cell r="B705" t="str">
            <v>RHEM-EBAT</v>
          </cell>
          <cell r="C705" t="str">
            <v>VAR_fout</v>
          </cell>
          <cell r="D705" t="str">
            <v>RHEM_ELC</v>
          </cell>
          <cell r="E705">
            <v>2.3258903558203873E-2</v>
          </cell>
          <cell r="F705">
            <v>2.3317690584268299E-2</v>
          </cell>
          <cell r="G705">
            <v>4.4667151991188113E-2</v>
          </cell>
          <cell r="H705">
            <v>4.5856530328175868E-2</v>
          </cell>
        </row>
        <row r="706">
          <cell r="B706" t="str">
            <v>RHEM-EBAT</v>
          </cell>
          <cell r="C706" t="str">
            <v>VAR_fout</v>
          </cell>
          <cell r="D706" t="str">
            <v>AUX_RHEM-EBAT_OUT</v>
          </cell>
          <cell r="E706">
            <v>2.325890355820389E-2</v>
          </cell>
          <cell r="F706">
            <v>2.3317690584268316E-2</v>
          </cell>
          <cell r="G706">
            <v>4.4667151991188148E-2</v>
          </cell>
          <cell r="H706">
            <v>4.5856530328175903E-2</v>
          </cell>
        </row>
        <row r="707">
          <cell r="B707" t="str">
            <v>RHEM-EBAT</v>
          </cell>
          <cell r="C707" t="str">
            <v>VAR_fin</v>
          </cell>
          <cell r="D707" t="str">
            <v>RHEM_ELC</v>
          </cell>
          <cell r="E707">
            <v>2.5837579871814533E-2</v>
          </cell>
          <cell r="F707">
            <v>2.5889861615458996E-2</v>
          </cell>
          <cell r="G707">
            <v>4.9413331448544179E-2</v>
          </cell>
          <cell r="H707">
            <v>5.072528526120014E-2</v>
          </cell>
        </row>
        <row r="708">
          <cell r="B708" t="str">
            <v>RHEM-EBAT</v>
          </cell>
          <cell r="C708" t="str">
            <v>VAR_fin</v>
          </cell>
          <cell r="D708" t="str">
            <v>AUX_RHEM-EBAT_IN</v>
          </cell>
          <cell r="E708">
            <v>2.5837579871814533E-2</v>
          </cell>
          <cell r="F708">
            <v>2.5889861615458996E-2</v>
          </cell>
          <cell r="G708">
            <v>4.9413331448544179E-2</v>
          </cell>
          <cell r="H708">
            <v>5.072528526120014E-2</v>
          </cell>
        </row>
        <row r="709">
          <cell r="B709" t="str">
            <v>RHEM-EBAT</v>
          </cell>
          <cell r="C709" t="str">
            <v>VAR_ncap</v>
          </cell>
          <cell r="D709" t="str">
            <v>-</v>
          </cell>
          <cell r="E709">
            <v>9.5996008388939697E-3</v>
          </cell>
          <cell r="F709">
            <v>1.7449451165912401E-5</v>
          </cell>
          <cell r="G709">
            <v>8.7620174661249498E-3</v>
          </cell>
          <cell r="H709">
            <v>2.98526801178182E-3</v>
          </cell>
        </row>
        <row r="710">
          <cell r="B710" t="str">
            <v>RHEM-EBAT</v>
          </cell>
          <cell r="C710" t="str">
            <v>VAR_cap</v>
          </cell>
          <cell r="D710" t="str">
            <v>-</v>
          </cell>
          <cell r="E710">
            <v>9.6017044092716226E-3</v>
          </cell>
          <cell r="F710">
            <v>9.6136730183066562E-3</v>
          </cell>
          <cell r="G710">
            <v>1.8363654557414018E-2</v>
          </cell>
          <cell r="H710">
            <v>1.8768217017734398E-2</v>
          </cell>
        </row>
        <row r="711">
          <cell r="B711" t="str">
            <v>HPLGEO</v>
          </cell>
          <cell r="C711" t="str">
            <v>VAR_fout</v>
          </cell>
          <cell r="D711" t="str">
            <v>LTH</v>
          </cell>
        </row>
        <row r="712">
          <cell r="B712" t="str">
            <v>HPLGEO</v>
          </cell>
          <cell r="C712" t="str">
            <v>VAR_fin</v>
          </cell>
          <cell r="D712" t="str">
            <v>GEO</v>
          </cell>
        </row>
        <row r="713">
          <cell r="B713" t="str">
            <v>HPLGEO</v>
          </cell>
          <cell r="C713" t="str">
            <v>VAR_ncap</v>
          </cell>
          <cell r="D713" t="str">
            <v>-</v>
          </cell>
        </row>
        <row r="714">
          <cell r="B714" t="str">
            <v>HPLGEO</v>
          </cell>
          <cell r="C714" t="str">
            <v>VAR_cap</v>
          </cell>
          <cell r="D714" t="str">
            <v>-</v>
          </cell>
        </row>
        <row r="715">
          <cell r="B715" t="str">
            <v>EHYD-PUM15</v>
          </cell>
          <cell r="C715" t="str">
            <v>VAR_fout</v>
          </cell>
          <cell r="D715" t="str">
            <v>ELC</v>
          </cell>
          <cell r="F715">
            <v>3.7402691272298914E-2</v>
          </cell>
          <cell r="G715">
            <v>3.7583197852108716E-2</v>
          </cell>
          <cell r="H715">
            <v>6.0858070489595288E-2</v>
          </cell>
        </row>
        <row r="716">
          <cell r="B716" t="str">
            <v>EHYD-PUM15</v>
          </cell>
          <cell r="C716" t="str">
            <v>VAR_fout</v>
          </cell>
          <cell r="D716" t="str">
            <v>AUX_PUMP_OUT</v>
          </cell>
          <cell r="F716">
            <v>3.7402691272298914E-2</v>
          </cell>
          <cell r="G716">
            <v>3.7583197852108716E-2</v>
          </cell>
          <cell r="H716">
            <v>6.0858070489595288E-2</v>
          </cell>
        </row>
        <row r="717">
          <cell r="B717" t="str">
            <v>EHYD-PUM15</v>
          </cell>
          <cell r="C717" t="str">
            <v>VAR_fin</v>
          </cell>
          <cell r="D717" t="str">
            <v>AUX_PUMP_IN</v>
          </cell>
          <cell r="F717">
            <v>4.6816428272353668E-2</v>
          </cell>
          <cell r="G717">
            <v>4.7006122791147506E-2</v>
          </cell>
          <cell r="H717">
            <v>7.606337000565988E-2</v>
          </cell>
        </row>
        <row r="718">
          <cell r="B718" t="str">
            <v>EHYD-PUM15</v>
          </cell>
          <cell r="C718" t="str">
            <v>VAR_fin</v>
          </cell>
          <cell r="D718" t="str">
            <v>ELC</v>
          </cell>
          <cell r="F718">
            <v>4.6816428272353668E-2</v>
          </cell>
          <cell r="G718">
            <v>4.7006122791147506E-2</v>
          </cell>
          <cell r="H718">
            <v>7.606337000565988E-2</v>
          </cell>
        </row>
        <row r="719">
          <cell r="B719" t="str">
            <v>EHYD-PUM15</v>
          </cell>
          <cell r="C719" t="str">
            <v>VAR_ncap</v>
          </cell>
          <cell r="D719" t="str">
            <v>-</v>
          </cell>
          <cell r="F719">
            <v>4.8712583636179498E-3</v>
          </cell>
          <cell r="G719">
            <v>2.59622543678957E-6</v>
          </cell>
          <cell r="H719">
            <v>2.5997829062343898E-6</v>
          </cell>
        </row>
        <row r="720">
          <cell r="B720" t="str">
            <v>EHYD-PUM15</v>
          </cell>
          <cell r="C720" t="str">
            <v>VAR_cap</v>
          </cell>
          <cell r="D720" t="str">
            <v>-</v>
          </cell>
          <cell r="F720">
            <v>4.8712583636179498E-3</v>
          </cell>
          <cell r="G720">
            <v>4.8712583636179498E-3</v>
          </cell>
          <cell r="H720">
            <v>4.8712583636179498E-3</v>
          </cell>
        </row>
        <row r="721">
          <cell r="B721" t="str">
            <v>D-EWST</v>
          </cell>
          <cell r="C721" t="str">
            <v>VAR_fout</v>
          </cell>
          <cell r="D721" t="str">
            <v>CO2</v>
          </cell>
          <cell r="E721">
            <v>2266.28862065257</v>
          </cell>
          <cell r="F721">
            <v>2237.5566307754402</v>
          </cell>
          <cell r="G721">
            <v>2312.7769545096098</v>
          </cell>
          <cell r="H721">
            <v>2351.3595117988698</v>
          </cell>
        </row>
        <row r="722">
          <cell r="B722" t="str">
            <v>D-EWST</v>
          </cell>
          <cell r="C722" t="str">
            <v>VAR_fout</v>
          </cell>
          <cell r="D722" t="str">
            <v>EWST</v>
          </cell>
          <cell r="E722">
            <v>48.842427169236437</v>
          </cell>
          <cell r="F722">
            <v>48.223379344993198</v>
          </cell>
          <cell r="G722">
            <v>49.844511657418387</v>
          </cell>
          <cell r="H722">
            <v>50.676089793613762</v>
          </cell>
        </row>
        <row r="723">
          <cell r="B723" t="str">
            <v>D-EWST</v>
          </cell>
          <cell r="C723" t="str">
            <v>VAR_fin</v>
          </cell>
          <cell r="D723" t="str">
            <v>WSTNREN</v>
          </cell>
          <cell r="E723">
            <v>24.421213584618208</v>
          </cell>
          <cell r="F723">
            <v>24.111601624735293</v>
          </cell>
          <cell r="G723">
            <v>24.922165458077693</v>
          </cell>
          <cell r="H723">
            <v>25.337925773694725</v>
          </cell>
        </row>
        <row r="724">
          <cell r="B724" t="str">
            <v>D-EWST</v>
          </cell>
          <cell r="C724" t="str">
            <v>VAR_fin</v>
          </cell>
          <cell r="D724" t="str">
            <v>WSTREN</v>
          </cell>
          <cell r="E724">
            <v>24.421213584618208</v>
          </cell>
          <cell r="F724">
            <v>24.111601624735293</v>
          </cell>
          <cell r="G724">
            <v>24.922165458077693</v>
          </cell>
          <cell r="H724">
            <v>25.337925773694725</v>
          </cell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5.0110853059788303</v>
          </cell>
        </row>
        <row r="5">
          <cell r="A5" t="str">
            <v>EXPELC_DE</v>
          </cell>
          <cell r="C5" t="str">
            <v>ELC_E-DE</v>
          </cell>
          <cell r="D5">
            <v>26.493024221127655</v>
          </cell>
          <cell r="E5">
            <v>1.0514877998353319E-2</v>
          </cell>
          <cell r="F5">
            <v>1.2516595336610458E-2</v>
          </cell>
          <cell r="G5">
            <v>9.1876373848008511E-3</v>
          </cell>
        </row>
        <row r="6">
          <cell r="A6" t="str">
            <v>IMPDSL</v>
          </cell>
          <cell r="C6" t="str">
            <v>DSL</v>
          </cell>
          <cell r="D6">
            <v>121.89424816293706</v>
          </cell>
          <cell r="E6">
            <v>112.68574983712354</v>
          </cell>
          <cell r="F6">
            <v>95.48232651826433</v>
          </cell>
          <cell r="G6">
            <v>56.806864888603791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15.013856275659503</v>
          </cell>
          <cell r="E8">
            <v>0.94657119544528923</v>
          </cell>
          <cell r="F8">
            <v>0.51305837026265</v>
          </cell>
          <cell r="G8">
            <v>0.52562360039349076</v>
          </cell>
        </row>
        <row r="9">
          <cell r="A9" t="str">
            <v>IMPELC_AT</v>
          </cell>
          <cell r="C9" t="str">
            <v>ELCS</v>
          </cell>
          <cell r="D9">
            <v>15.013856275659503</v>
          </cell>
          <cell r="E9">
            <v>0.94657119544528923</v>
          </cell>
          <cell r="F9">
            <v>0.51305837026265</v>
          </cell>
          <cell r="G9">
            <v>0.52562360039349076</v>
          </cell>
        </row>
        <row r="10">
          <cell r="A10" t="str">
            <v>IMPELC_FR</v>
          </cell>
          <cell r="C10" t="str">
            <v>ELC_I-FR</v>
          </cell>
          <cell r="D10">
            <v>28.948670600564245</v>
          </cell>
          <cell r="E10">
            <v>21.080686840054629</v>
          </cell>
          <cell r="F10">
            <v>26.594131344599681</v>
          </cell>
          <cell r="G10">
            <v>18.064614718796527</v>
          </cell>
        </row>
        <row r="11">
          <cell r="A11" t="str">
            <v>IMPELC_FR</v>
          </cell>
          <cell r="C11" t="str">
            <v>ELCS</v>
          </cell>
          <cell r="D11">
            <v>28.948670600564245</v>
          </cell>
          <cell r="E11">
            <v>21.080686840054629</v>
          </cell>
          <cell r="F11">
            <v>26.594131344599681</v>
          </cell>
          <cell r="G11">
            <v>18.064614718796527</v>
          </cell>
        </row>
        <row r="12">
          <cell r="A12" t="str">
            <v>RNWHYDR1</v>
          </cell>
          <cell r="C12" t="str">
            <v>HYDR</v>
          </cell>
          <cell r="D12">
            <v>66.632430866657657</v>
          </cell>
          <cell r="E12">
            <v>55.764055694378634</v>
          </cell>
          <cell r="F12">
            <v>65.677217745587811</v>
          </cell>
          <cell r="G12">
            <v>64.853740316850065</v>
          </cell>
        </row>
        <row r="13">
          <cell r="A13" t="str">
            <v>EXPELC_IT</v>
          </cell>
          <cell r="C13" t="str">
            <v>ELC_E-IT</v>
          </cell>
          <cell r="D13">
            <v>71.694131784294385</v>
          </cell>
          <cell r="E13">
            <v>34.86251306640257</v>
          </cell>
          <cell r="F13">
            <v>71.904851705876354</v>
          </cell>
          <cell r="G13">
            <v>52.680973523479118</v>
          </cell>
        </row>
        <row r="14">
          <cell r="A14" t="str">
            <v>IMPLNG</v>
          </cell>
          <cell r="C14" t="str">
            <v>LBIO</v>
          </cell>
          <cell r="G14">
            <v>8.5252024535565196E-3</v>
          </cell>
        </row>
        <row r="15">
          <cell r="A15" t="str">
            <v>IMPLNG</v>
          </cell>
          <cell r="C15" t="str">
            <v>LNGA</v>
          </cell>
          <cell r="G15">
            <v>4.3740511977914093E-2</v>
          </cell>
        </row>
        <row r="16">
          <cell r="A16" t="str">
            <v>IMPURN1</v>
          </cell>
          <cell r="C16" t="str">
            <v>URN</v>
          </cell>
          <cell r="D16">
            <v>250.9487170795704</v>
          </cell>
          <cell r="E16">
            <v>253.29674232384011</v>
          </cell>
          <cell r="F16">
            <v>233.18388719099895</v>
          </cell>
          <cell r="G16">
            <v>211.82169140682569</v>
          </cell>
        </row>
        <row r="17">
          <cell r="A17" t="str">
            <v>EXPELC_AT</v>
          </cell>
          <cell r="C17" t="str">
            <v>ELC_E-AT</v>
          </cell>
          <cell r="D17">
            <v>6.2296562858476987</v>
          </cell>
          <cell r="E17">
            <v>1.5931736788436374E-2</v>
          </cell>
          <cell r="F17">
            <v>2.0913411592458787E-2</v>
          </cell>
          <cell r="G17">
            <v>3.8060721036487187E-3</v>
          </cell>
        </row>
        <row r="18">
          <cell r="A18" t="str">
            <v>EXPELC_FR</v>
          </cell>
          <cell r="C18" t="str">
            <v>ELC_E-FR</v>
          </cell>
          <cell r="D18">
            <v>12.753444394505104</v>
          </cell>
          <cell r="E18">
            <v>1.3559253697069708E-2</v>
          </cell>
          <cell r="F18">
            <v>1.4263996112231685E-2</v>
          </cell>
          <cell r="G18">
            <v>6.9464090622277999E-3</v>
          </cell>
        </row>
        <row r="19">
          <cell r="A19" t="str">
            <v>RNWWND1</v>
          </cell>
          <cell r="C19" t="str">
            <v>WND</v>
          </cell>
          <cell r="D19">
            <v>0.44818837294456559</v>
          </cell>
          <cell r="E19">
            <v>0.46801289251717693</v>
          </cell>
          <cell r="F19">
            <v>0.42539274900897067</v>
          </cell>
          <cell r="G19">
            <v>0.87510594678870446</v>
          </cell>
        </row>
        <row r="20">
          <cell r="A20" t="str">
            <v>RNWWND2</v>
          </cell>
          <cell r="C20" t="str">
            <v>WND</v>
          </cell>
          <cell r="D20">
            <v>2.7102516507153843E-2</v>
          </cell>
          <cell r="E20">
            <v>2.7527245438387891E-2</v>
          </cell>
          <cell r="F20">
            <v>2.7743393608109283E-2</v>
          </cell>
          <cell r="G20">
            <v>1.0979208196255725</v>
          </cell>
        </row>
        <row r="21">
          <cell r="A21" t="str">
            <v>RNWMNR1</v>
          </cell>
          <cell r="C21" t="str">
            <v>MNR</v>
          </cell>
          <cell r="D21">
            <v>3.7982918878914633</v>
          </cell>
          <cell r="E21">
            <v>12.540359083790694</v>
          </cell>
          <cell r="F21">
            <v>12.540421416964007</v>
          </cell>
          <cell r="G21">
            <v>12.540431121177249</v>
          </cell>
        </row>
        <row r="22">
          <cell r="A22" t="str">
            <v>RNWWND3</v>
          </cell>
          <cell r="C22" t="str">
            <v>WND</v>
          </cell>
          <cell r="D22">
            <v>2.2458830144365127E-2</v>
          </cell>
          <cell r="E22">
            <v>2.2795665226495964E-2</v>
          </cell>
          <cell r="F22">
            <v>2.2982188845841134E-2</v>
          </cell>
          <cell r="G22">
            <v>4.6429896047368711E-2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1.5618064710054204E-2</v>
          </cell>
          <cell r="E24">
            <v>1.5808360427238557E-2</v>
          </cell>
          <cell r="F24">
            <v>1.588534879022209E-2</v>
          </cell>
          <cell r="G24">
            <v>1.8832113727967555E-2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102.14686482660032</v>
          </cell>
          <cell r="E26">
            <v>88.232629849963274</v>
          </cell>
          <cell r="F26">
            <v>86.025824283526873</v>
          </cell>
          <cell r="G26">
            <v>47.723315078576853</v>
          </cell>
        </row>
        <row r="27">
          <cell r="A27" t="str">
            <v>RNWWND5</v>
          </cell>
          <cell r="C27" t="str">
            <v>WND</v>
          </cell>
          <cell r="D27">
            <v>1.1120754484534178E-2</v>
          </cell>
          <cell r="E27">
            <v>1.1224552905496961E-2</v>
          </cell>
          <cell r="F27">
            <v>1.1237654336681098E-2</v>
          </cell>
          <cell r="G27">
            <v>1.2467559892135664E-2</v>
          </cell>
        </row>
        <row r="28">
          <cell r="A28" t="str">
            <v>IMPBNGA</v>
          </cell>
          <cell r="C28" t="str">
            <v>BIO</v>
          </cell>
          <cell r="E28">
            <v>1.7812515109373096E-3</v>
          </cell>
          <cell r="F28">
            <v>1.6722916026538155E-3</v>
          </cell>
          <cell r="G28">
            <v>0.51869769224351592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80.684757022338403</v>
          </cell>
          <cell r="G31">
            <v>78.507003277906307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77.404073620847043</v>
          </cell>
          <cell r="E35">
            <v>75.649647193300396</v>
          </cell>
          <cell r="F35">
            <v>70.929145538586567</v>
          </cell>
          <cell r="G35">
            <v>41.082883194158065</v>
          </cell>
        </row>
        <row r="36">
          <cell r="A36" t="str">
            <v>RNWWOD1</v>
          </cell>
          <cell r="C36" t="str">
            <v>WOD</v>
          </cell>
          <cell r="D36">
            <v>11.111976141568594</v>
          </cell>
          <cell r="E36">
            <v>11.952923578006255</v>
          </cell>
          <cell r="F36">
            <v>13.357213022457403</v>
          </cell>
          <cell r="G36">
            <v>15.656186912610261</v>
          </cell>
        </row>
        <row r="37">
          <cell r="A37" t="str">
            <v>RNWWOD2</v>
          </cell>
          <cell r="C37" t="str">
            <v>WOD</v>
          </cell>
          <cell r="D37">
            <v>7.5117708343997647</v>
          </cell>
          <cell r="E37">
            <v>7.5431833211157198</v>
          </cell>
          <cell r="F37">
            <v>7.5903684650464012</v>
          </cell>
          <cell r="G37">
            <v>7.6690331077722877</v>
          </cell>
        </row>
        <row r="38">
          <cell r="A38" t="str">
            <v>RNWWOD3</v>
          </cell>
          <cell r="C38" t="str">
            <v>WOD</v>
          </cell>
          <cell r="D38">
            <v>3.1683463948340496</v>
          </cell>
          <cell r="E38">
            <v>3.4957144759587795</v>
          </cell>
          <cell r="F38">
            <v>3.9868298124432071</v>
          </cell>
          <cell r="G38">
            <v>4.805389453080994</v>
          </cell>
        </row>
        <row r="39">
          <cell r="A39" t="str">
            <v>RNWWOD4</v>
          </cell>
          <cell r="C39" t="str">
            <v>WOD</v>
          </cell>
          <cell r="D39">
            <v>15.110386345840936</v>
          </cell>
          <cell r="E39">
            <v>14.899043007245094</v>
          </cell>
          <cell r="F39">
            <v>19.670460563227383</v>
          </cell>
          <cell r="G39">
            <v>24.230701756072303</v>
          </cell>
        </row>
        <row r="40">
          <cell r="A40" t="str">
            <v>RNWWOD5</v>
          </cell>
          <cell r="C40" t="str">
            <v>WOD</v>
          </cell>
          <cell r="D40">
            <v>9.431635499356906</v>
          </cell>
          <cell r="E40">
            <v>12.59972350174751</v>
          </cell>
          <cell r="F40">
            <v>8.9400448833119537</v>
          </cell>
          <cell r="G40">
            <v>1.1851404562036287</v>
          </cell>
        </row>
        <row r="41">
          <cell r="A41" t="str">
            <v>RNNWWST1</v>
          </cell>
          <cell r="C41" t="str">
            <v>WSTNREN</v>
          </cell>
          <cell r="D41">
            <v>35.931415647284581</v>
          </cell>
          <cell r="E41">
            <v>36.121600754240653</v>
          </cell>
          <cell r="F41">
            <v>35.963639011507908</v>
          </cell>
          <cell r="G41">
            <v>37.032765660388442</v>
          </cell>
        </row>
        <row r="42">
          <cell r="A42" t="str">
            <v>RNWSOL1</v>
          </cell>
          <cell r="C42" t="str">
            <v>SOL</v>
          </cell>
          <cell r="D42">
            <v>12.557136404926036</v>
          </cell>
          <cell r="E42">
            <v>16.525178250020552</v>
          </cell>
          <cell r="F42">
            <v>30.421478522021395</v>
          </cell>
          <cell r="G42">
            <v>56.344572823422311</v>
          </cell>
        </row>
        <row r="43">
          <cell r="A43" t="str">
            <v>IMPHFO1</v>
          </cell>
          <cell r="C43" t="str">
            <v>HFO</v>
          </cell>
          <cell r="D43">
            <v>2.7765248325854821</v>
          </cell>
          <cell r="E43">
            <v>2.7643673663297474</v>
          </cell>
          <cell r="F43">
            <v>4.8276246552936893E-2</v>
          </cell>
          <cell r="G43">
            <v>4.6215869532633732E-3</v>
          </cell>
        </row>
        <row r="44">
          <cell r="A44" t="str">
            <v>RNWHYDD1</v>
          </cell>
          <cell r="C44" t="str">
            <v>HYDD</v>
          </cell>
          <cell r="D44">
            <v>66.745681606063101</v>
          </cell>
          <cell r="E44">
            <v>49.798777987808698</v>
          </cell>
          <cell r="F44">
            <v>68.970400584037364</v>
          </cell>
          <cell r="G44">
            <v>70.97023239346008</v>
          </cell>
        </row>
        <row r="45">
          <cell r="A45" t="str">
            <v>IMPKER</v>
          </cell>
          <cell r="C45" t="str">
            <v>KER</v>
          </cell>
          <cell r="D45">
            <v>1.1093794036503803</v>
          </cell>
          <cell r="E45">
            <v>1.4041021466046504</v>
          </cell>
          <cell r="F45">
            <v>1.8282779230786981</v>
          </cell>
          <cell r="G45">
            <v>2.4457699005055282</v>
          </cell>
        </row>
        <row r="46">
          <cell r="A46" t="str">
            <v>IMPBDS</v>
          </cell>
          <cell r="C46" t="str">
            <v>BDS</v>
          </cell>
          <cell r="D46">
            <v>2.8760887320951913</v>
          </cell>
          <cell r="E46">
            <v>1.8147572347056704</v>
          </cell>
          <cell r="F46">
            <v>3.2885273479649721</v>
          </cell>
          <cell r="G46">
            <v>3.3872223381656861</v>
          </cell>
        </row>
        <row r="47">
          <cell r="A47" t="str">
            <v>IMPCOA1</v>
          </cell>
          <cell r="C47" t="str">
            <v>COA</v>
          </cell>
          <cell r="D47">
            <v>3.6601882141811259</v>
          </cell>
          <cell r="E47">
            <v>3.5647660482432162</v>
          </cell>
          <cell r="F47">
            <v>0.15596099168927152</v>
          </cell>
          <cell r="G47">
            <v>4.6208376640515239E-3</v>
          </cell>
        </row>
        <row r="48">
          <cell r="A48" t="str">
            <v>IMPETH</v>
          </cell>
          <cell r="C48" t="str">
            <v>ETH</v>
          </cell>
          <cell r="D48">
            <v>2.9848618205759734</v>
          </cell>
          <cell r="E48">
            <v>4.0443988278181138</v>
          </cell>
          <cell r="F48">
            <v>2.570739257428853</v>
          </cell>
          <cell r="G48">
            <v>1.9550049530579647</v>
          </cell>
        </row>
        <row r="49">
          <cell r="A49" t="str">
            <v>IMPELC_DE</v>
          </cell>
          <cell r="C49" t="str">
            <v>ELC_I-DE</v>
          </cell>
          <cell r="D49">
            <v>46.3985156408202</v>
          </cell>
          <cell r="E49">
            <v>28.265630226990357</v>
          </cell>
          <cell r="F49">
            <v>23.333218548066622</v>
          </cell>
          <cell r="G49">
            <v>32.107053704417403</v>
          </cell>
        </row>
        <row r="50">
          <cell r="A50" t="str">
            <v>IMPELC_DE</v>
          </cell>
          <cell r="C50" t="str">
            <v>ELCS</v>
          </cell>
          <cell r="D50">
            <v>46.3985156408202</v>
          </cell>
          <cell r="E50">
            <v>28.265630226990357</v>
          </cell>
          <cell r="F50">
            <v>23.333218548066622</v>
          </cell>
          <cell r="G50">
            <v>32.107053704417403</v>
          </cell>
        </row>
        <row r="51">
          <cell r="A51" t="str">
            <v>RNWWST1</v>
          </cell>
          <cell r="C51" t="str">
            <v>WSTREN</v>
          </cell>
          <cell r="D51">
            <v>34.100671096977578</v>
          </cell>
          <cell r="E51">
            <v>35.102689342431958</v>
          </cell>
          <cell r="F51">
            <v>35.103010635547861</v>
          </cell>
          <cell r="G51">
            <v>37.238307336651026</v>
          </cell>
        </row>
        <row r="52">
          <cell r="A52" t="str">
            <v>IMPNGA1</v>
          </cell>
          <cell r="C52" t="str">
            <v>NGA</v>
          </cell>
          <cell r="D52">
            <v>118.81618615236589</v>
          </cell>
          <cell r="E52">
            <v>106.72001471923431</v>
          </cell>
          <cell r="F52">
            <v>106.22916669823748</v>
          </cell>
          <cell r="G52">
            <v>78.53998988218585</v>
          </cell>
        </row>
        <row r="53">
          <cell r="A53" t="str">
            <v>IMPELC_IT</v>
          </cell>
          <cell r="C53" t="str">
            <v>ELC_I-IT</v>
          </cell>
          <cell r="D53">
            <v>6.7991233862165927</v>
          </cell>
          <cell r="E53">
            <v>9.7962296817703486E-3</v>
          </cell>
          <cell r="F53">
            <v>8.4415287670235387E-3</v>
          </cell>
          <cell r="G53">
            <v>3.8438980557683514E-3</v>
          </cell>
        </row>
        <row r="54">
          <cell r="A54" t="str">
            <v>IMPELC_IT</v>
          </cell>
          <cell r="C54" t="str">
            <v>ELCS</v>
          </cell>
          <cell r="D54">
            <v>6.7991233862165927</v>
          </cell>
          <cell r="E54">
            <v>9.7962296817703486E-3</v>
          </cell>
          <cell r="F54">
            <v>8.4415287670235387E-3</v>
          </cell>
          <cell r="G54">
            <v>3.8438980557683514E-3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3.2685571165362615</v>
          </cell>
          <cell r="E4">
            <v>3.8321672880200586</v>
          </cell>
          <cell r="F4">
            <v>0.60927028493672275</v>
          </cell>
          <cell r="G4">
            <v>0.76445178778467615</v>
          </cell>
          <cell r="H4">
            <v>0.80474304292388488</v>
          </cell>
          <cell r="I4">
            <v>0.87226819948009149</v>
          </cell>
          <cell r="J4">
            <v>0.75456453628067766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3.2685571165362615</v>
          </cell>
          <cell r="E5">
            <v>3.8321672880200586</v>
          </cell>
          <cell r="F5">
            <v>0.60927028493672275</v>
          </cell>
          <cell r="G5">
            <v>0.76445178778467615</v>
          </cell>
          <cell r="H5">
            <v>0.80474304292388488</v>
          </cell>
          <cell r="I5">
            <v>0.87226819948009149</v>
          </cell>
          <cell r="J5">
            <v>0.75456453628067766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1.6577791237973518E-3</v>
          </cell>
          <cell r="F6">
            <v>2.7828003001388938E-4</v>
          </cell>
          <cell r="G6">
            <v>2.2485314921168344E-4</v>
          </cell>
          <cell r="H6">
            <v>2.4366734794813787E-4</v>
          </cell>
          <cell r="I6">
            <v>1.7010183176133421E-4</v>
          </cell>
          <cell r="J6">
            <v>2.583982919338881E-4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1.65943690292115E-3</v>
          </cell>
          <cell r="F7">
            <v>2.7855831004390313E-4</v>
          </cell>
          <cell r="G7">
            <v>2.250780023608952E-4</v>
          </cell>
          <cell r="H7">
            <v>2.4391101529608591E-4</v>
          </cell>
          <cell r="I7">
            <v>1.7027193359309551E-4</v>
          </cell>
          <cell r="J7">
            <v>2.5865669022582209E-4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1.22863810725175E-3</v>
          </cell>
          <cell r="F8">
            <v>6.2800324672260697E-5</v>
          </cell>
          <cell r="G8">
            <v>7.6643264751277411E-5</v>
          </cell>
          <cell r="H8">
            <v>6.4873712413426524E-5</v>
          </cell>
          <cell r="I8">
            <v>9.6462586208179193E-5</v>
          </cell>
          <cell r="J8">
            <v>2.1167034801295638E-4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2.6578730062993102E-4</v>
          </cell>
          <cell r="E9">
            <v>1.6254636458885199E-4</v>
          </cell>
          <cell r="F9">
            <v>2.70067414247493E-4</v>
          </cell>
          <cell r="G9">
            <v>4.2654885391402403E-4</v>
          </cell>
          <cell r="H9">
            <v>4.9472414699338403E-5</v>
          </cell>
          <cell r="I9">
            <v>8.1836712800266301E-5</v>
          </cell>
          <cell r="J9">
            <v>2.2722389653002099E-4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2.6578730062993102E-4</v>
          </cell>
          <cell r="E10">
            <v>4.2833366521878298E-4</v>
          </cell>
          <cell r="F10">
            <v>6.9840107946627695E-4</v>
          </cell>
          <cell r="G10">
            <v>1.1249499333803E-3</v>
          </cell>
          <cell r="H10">
            <v>8.9829612560720805E-4</v>
          </cell>
          <cell r="I10">
            <v>4.7047101494390302E-4</v>
          </cell>
          <cell r="J10">
            <v>3.0754210929982701E-4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3.87245424420408E-2</v>
          </cell>
          <cell r="F11">
            <v>4.8029370718954896</v>
          </cell>
          <cell r="G11">
            <v>7.4021868884676696</v>
          </cell>
          <cell r="H11">
            <v>7.3635303119500399</v>
          </cell>
          <cell r="I11">
            <v>5.0625331698231504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4.7070198015823113E-4</v>
          </cell>
          <cell r="F12">
            <v>6.1889056991423136E-2</v>
          </cell>
          <cell r="G12">
            <v>9.5382129589456466E-2</v>
          </cell>
          <cell r="H12">
            <v>9.4884013742552786E-2</v>
          </cell>
          <cell r="I12">
            <v>6.5234126364371606E-2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5.2543476854872214E-4</v>
          </cell>
          <cell r="F13">
            <v>6.5168752671580676E-2</v>
          </cell>
          <cell r="G13">
            <v>0.10043672847310266</v>
          </cell>
          <cell r="H13">
            <v>9.9912215901628743E-2</v>
          </cell>
          <cell r="I13">
            <v>6.8691087785931471E-2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7.0684564672183299E-4</v>
          </cell>
          <cell r="F14">
            <v>2.93815075276199E-2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7.0684564672183299E-4</v>
          </cell>
          <cell r="F15">
            <v>3.0008472046247594E-2</v>
          </cell>
          <cell r="G15">
            <v>2.9875317026820503E-2</v>
          </cell>
          <cell r="H15">
            <v>2.9587496906213734E-2</v>
          </cell>
          <cell r="I15">
            <v>5.2032922577463893E-3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5.5655621895826801</v>
          </cell>
          <cell r="G16">
            <v>15.320211118881801</v>
          </cell>
          <cell r="H16">
            <v>21.4360389924645</v>
          </cell>
          <cell r="I16">
            <v>26.2223874258348</v>
          </cell>
          <cell r="J16">
            <v>30.724511805244799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0.18986508296825197</v>
          </cell>
          <cell r="G17">
            <v>0.54102993172568192</v>
          </cell>
          <cell r="H17">
            <v>0.76733300968895457</v>
          </cell>
          <cell r="I17">
            <v>0.95124981178823942</v>
          </cell>
          <cell r="J17">
            <v>1.166578124495433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9.8680180666359724E-2</v>
          </cell>
          <cell r="G18">
            <v>0.27163494891634399</v>
          </cell>
          <cell r="H18">
            <v>0.3800716133415683</v>
          </cell>
          <cell r="I18">
            <v>0.46493594726657389</v>
          </cell>
          <cell r="J18">
            <v>0.54476084761072319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0.18986508296825197</v>
          </cell>
          <cell r="G19">
            <v>0.54102993172568192</v>
          </cell>
          <cell r="H19">
            <v>0.76733300968895457</v>
          </cell>
          <cell r="I19">
            <v>0.95124981178823942</v>
          </cell>
          <cell r="J19">
            <v>1.166578124495433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1.34215651857193E-5</v>
          </cell>
          <cell r="F20">
            <v>1.51347534428062E-2</v>
          </cell>
          <cell r="G20">
            <v>2.48856829203646E-2</v>
          </cell>
          <cell r="H20">
            <v>1.7138824995342399E-2</v>
          </cell>
          <cell r="I20">
            <v>3.4086196423897097E-2</v>
          </cell>
          <cell r="J20">
            <v>5.3774767804038399E-2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1.34215651857193E-5</v>
          </cell>
          <cell r="F21">
            <v>1.5145975704407035E-2</v>
          </cell>
          <cell r="G21">
            <v>4.0030278959081483E-2</v>
          </cell>
          <cell r="H21">
            <v>5.7156471033013363E-2</v>
          </cell>
          <cell r="I21">
            <v>7.0895244054787129E-2</v>
          </cell>
          <cell r="J21">
            <v>8.5758792027590416E-2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0.46159904975162597</v>
          </cell>
          <cell r="E22">
            <v>0.5446111002284405</v>
          </cell>
          <cell r="F22">
            <v>0.57530150914458866</v>
          </cell>
          <cell r="G22">
            <v>0.59338116082553971</v>
          </cell>
          <cell r="H22">
            <v>0.59397895608854012</v>
          </cell>
          <cell r="I22">
            <v>0.59454914029965111</v>
          </cell>
          <cell r="J22">
            <v>0.59544162723104088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0.46159904975162597</v>
          </cell>
          <cell r="E23">
            <v>0.5446111002284405</v>
          </cell>
          <cell r="F23">
            <v>0.57530150914458866</v>
          </cell>
          <cell r="G23">
            <v>0.59338116082553971</v>
          </cell>
          <cell r="H23">
            <v>0.59397895608854012</v>
          </cell>
          <cell r="I23">
            <v>0.59454914029965111</v>
          </cell>
          <cell r="J23">
            <v>0.59544162723104088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0.62589701661237407</v>
          </cell>
          <cell r="E24">
            <v>0.73762225764574341</v>
          </cell>
          <cell r="F24">
            <v>0.77787246306873914</v>
          </cell>
          <cell r="G24">
            <v>0.80006448650634476</v>
          </cell>
          <cell r="H24">
            <v>0.7986271678501381</v>
          </cell>
          <cell r="I24">
            <v>0.79716085850232588</v>
          </cell>
          <cell r="J24">
            <v>0.79392216964138729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1.05363524761904E-2</v>
          </cell>
          <cell r="F25">
            <v>2.50728135014529E-3</v>
          </cell>
          <cell r="G25">
            <v>1.87249107764758E-3</v>
          </cell>
          <cell r="H25">
            <v>2.8404034920983701E-2</v>
          </cell>
          <cell r="I25">
            <v>1.9220177293959199E-2</v>
          </cell>
          <cell r="J25">
            <v>2.1280060726095899E-2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4.0362078771685593E-2</v>
          </cell>
          <cell r="F26">
            <v>4.2730081397943251E-2</v>
          </cell>
          <cell r="G26">
            <v>4.4468930722632229E-2</v>
          </cell>
          <cell r="H26">
            <v>4.547407517617006E-2</v>
          </cell>
          <cell r="I26">
            <v>4.7990090879960104E-2</v>
          </cell>
          <cell r="J26">
            <v>4.6522657992711096E-2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0.5205740069369198</v>
          </cell>
          <cell r="E27">
            <v>0.59729223818153576</v>
          </cell>
          <cell r="F27">
            <v>1.187262500008621</v>
          </cell>
          <cell r="G27">
            <v>1.1594599532141887</v>
          </cell>
          <cell r="H27">
            <v>1.0748350247191591</v>
          </cell>
          <cell r="I27">
            <v>1.0023515345736462</v>
          </cell>
          <cell r="J27">
            <v>0.73448337362611127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1.0411480138738396</v>
          </cell>
          <cell r="E28">
            <v>1.1945844763630717</v>
          </cell>
          <cell r="F28">
            <v>2.7167265261710254</v>
          </cell>
          <cell r="G28">
            <v>2.5757919451097897</v>
          </cell>
          <cell r="H28">
            <v>2.3372702598531729</v>
          </cell>
          <cell r="I28">
            <v>2.1277488457449785</v>
          </cell>
          <cell r="J28">
            <v>1.4741181651844584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5.41651913412056E-3</v>
          </cell>
          <cell r="F29">
            <v>3.8637788231454202E-2</v>
          </cell>
          <cell r="G29">
            <v>6.3872109185682095E-4</v>
          </cell>
          <cell r="H29">
            <v>2.28758568357002E-2</v>
          </cell>
          <cell r="I29">
            <v>4.1649047832763103E-2</v>
          </cell>
          <cell r="J29">
            <v>1.29412087494574E-2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4.07353379435757E-2</v>
          </cell>
          <cell r="F30">
            <v>7.9366798973991071E-2</v>
          </cell>
          <cell r="G30">
            <v>7.999555582088011E-2</v>
          </cell>
          <cell r="H30">
            <v>7.4056700208753434E-2</v>
          </cell>
          <cell r="I30">
            <v>7.1790880105837257E-2</v>
          </cell>
          <cell r="J30">
            <v>5.283823408616671E-2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4.3872675358504267</v>
          </cell>
          <cell r="E31">
            <v>5.034275664361922</v>
          </cell>
          <cell r="F31">
            <v>5.2092658519603576</v>
          </cell>
          <cell r="G31">
            <v>4.3635988756800383</v>
          </cell>
          <cell r="H31">
            <v>3.4804543436397202</v>
          </cell>
          <cell r="I31">
            <v>2.7001271364865627</v>
          </cell>
          <cell r="J31">
            <v>1.4269907581318986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6.0934271331255916</v>
          </cell>
          <cell r="E32">
            <v>6.9920495338360089</v>
          </cell>
          <cell r="F32">
            <v>7.2728686534131199</v>
          </cell>
          <cell r="G32">
            <v>6.0151304348040728</v>
          </cell>
          <cell r="H32">
            <v>4.7754211673758791</v>
          </cell>
          <cell r="I32">
            <v>3.6804466240873372</v>
          </cell>
          <cell r="J32">
            <v>1.8858092467576106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5.2637621411119502E-2</v>
          </cell>
          <cell r="F33">
            <v>1.40894821124369E-2</v>
          </cell>
          <cell r="G33">
            <v>6.0001701976115399E-6</v>
          </cell>
          <cell r="H33">
            <v>0.148858073762556</v>
          </cell>
          <cell r="I33">
            <v>6.8268872134265302E-2</v>
          </cell>
          <cell r="J33">
            <v>3.1994797887777999E-3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0.40706401122983077</v>
          </cell>
          <cell r="F34">
            <v>0.42115076347291652</v>
          </cell>
          <cell r="G34">
            <v>0.4211108049366965</v>
          </cell>
          <cell r="H34">
            <v>0.28181272304156546</v>
          </cell>
          <cell r="I34">
            <v>0.21961902417972748</v>
          </cell>
          <cell r="J34">
            <v>0.11570763049401579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0.61232654842610823</v>
          </cell>
          <cell r="J35">
            <v>0.6812803750313271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0.61851166507687727</v>
          </cell>
          <cell r="J36">
            <v>0.68816199498113839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1.7992197827938499E-5</v>
          </cell>
          <cell r="H37">
            <v>5.29424932935146E-5</v>
          </cell>
          <cell r="I37">
            <v>7.4075419918628094E-2</v>
          </cell>
          <cell r="J37">
            <v>2.31108261890313E-3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1.7992197827938499E-5</v>
          </cell>
          <cell r="H38">
            <v>7.0934691121453099E-5</v>
          </cell>
          <cell r="I38">
            <v>7.4146354609749596E-2</v>
          </cell>
          <cell r="J38">
            <v>7.6457437228652697E-2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6.1736155374772199</v>
          </cell>
          <cell r="E39">
            <v>5.2279712568500267</v>
          </cell>
          <cell r="F39">
            <v>6.7954740716128024</v>
          </cell>
          <cell r="G39">
            <v>6.5084223188485115</v>
          </cell>
          <cell r="H39">
            <v>5.7276529687464448</v>
          </cell>
          <cell r="I39">
            <v>4.8630387211704749</v>
          </cell>
          <cell r="J39">
            <v>3.3475511759153287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8.5744660242739226</v>
          </cell>
          <cell r="E40">
            <v>7.2610711900694813</v>
          </cell>
          <cell r="F40">
            <v>10.069284452655683</v>
          </cell>
          <cell r="G40">
            <v>9.6060666162982002</v>
          </cell>
          <cell r="H40">
            <v>8.4536948091823874</v>
          </cell>
          <cell r="I40">
            <v>7.1453071659315377</v>
          </cell>
          <cell r="J40">
            <v>4.7599824851355077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1.3126125075240799E-4</v>
          </cell>
          <cell r="E41">
            <v>1.00361653279643E-4</v>
          </cell>
          <cell r="F41">
            <v>4.7798161312985803E-2</v>
          </cell>
          <cell r="G41">
            <v>3.6075211316188E-5</v>
          </cell>
          <cell r="H41">
            <v>0.27602017262031697</v>
          </cell>
          <cell r="I41">
            <v>9.8440422847636197E-2</v>
          </cell>
          <cell r="J41">
            <v>8.2108869270847207E-2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0.47855153906786441</v>
          </cell>
          <cell r="E42">
            <v>0.47864425585781628</v>
          </cell>
          <cell r="F42">
            <v>0.52643129802286148</v>
          </cell>
          <cell r="G42">
            <v>0.52634695596744452</v>
          </cell>
          <cell r="H42">
            <v>0.44791902829591013</v>
          </cell>
          <cell r="I42">
            <v>0.3829195118442158</v>
          </cell>
          <cell r="J42">
            <v>0.2702931228575805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5.185249597601489</v>
          </cell>
          <cell r="E43">
            <v>5.5677090452185043</v>
          </cell>
          <cell r="F43">
            <v>5.8793007002002549</v>
          </cell>
          <cell r="G43">
            <v>6.375406323532256</v>
          </cell>
          <cell r="H43">
            <v>8.1327420196055229</v>
          </cell>
          <cell r="I43">
            <v>8.0754214232925268</v>
          </cell>
          <cell r="J43">
            <v>9.4782694070504441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5.185249597601489</v>
          </cell>
          <cell r="E44">
            <v>5.5677090452185043</v>
          </cell>
          <cell r="F44">
            <v>5.8793007002002549</v>
          </cell>
          <cell r="G44">
            <v>6.375406323532256</v>
          </cell>
          <cell r="H44">
            <v>8.1327420196055229</v>
          </cell>
          <cell r="I44">
            <v>8.0754214232925268</v>
          </cell>
          <cell r="J44">
            <v>9.4782694070504441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5.6088509880527848</v>
          </cell>
          <cell r="E45">
            <v>6.0096829821632367</v>
          </cell>
          <cell r="F45">
            <v>6.3257294623133511</v>
          </cell>
          <cell r="G45">
            <v>6.8231644023985361</v>
          </cell>
          <cell r="H45">
            <v>8.6580517733357922</v>
          </cell>
          <cell r="I45">
            <v>8.5519598897579936</v>
          </cell>
          <cell r="J45">
            <v>9.9771256916320485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0.30070154707496299</v>
          </cell>
          <cell r="F46">
            <v>0.26040889852599303</v>
          </cell>
          <cell r="G46">
            <v>0.205050837459028</v>
          </cell>
          <cell r="H46">
            <v>0.28338158897140397</v>
          </cell>
          <cell r="I46">
            <v>0.36967203263724302</v>
          </cell>
          <cell r="J46">
            <v>0.48459699005707901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0.50571658157909094</v>
          </cell>
          <cell r="F47">
            <v>0.48056987322272915</v>
          </cell>
          <cell r="G47">
            <v>0.43601106087199903</v>
          </cell>
          <cell r="H47">
            <v>0.46055540266239092</v>
          </cell>
          <cell r="I47">
            <v>0.56759455774984402</v>
          </cell>
          <cell r="J47">
            <v>0.68251460753568594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6.5524271878731E-2</v>
          </cell>
          <cell r="G48">
            <v>0.1963406131523496</v>
          </cell>
          <cell r="H48">
            <v>0.28220121244517066</v>
          </cell>
          <cell r="I48">
            <v>0.44778222163225767</v>
          </cell>
          <cell r="J48">
            <v>0.55541116101873167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6.5589796150609697E-2</v>
          </cell>
          <cell r="G49">
            <v>0.19653695376550204</v>
          </cell>
          <cell r="H49">
            <v>0.28248341365761587</v>
          </cell>
          <cell r="I49">
            <v>0.44823000385388995</v>
          </cell>
          <cell r="J49">
            <v>0.55596657217975054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6.5671379964504395E-2</v>
          </cell>
          <cell r="G50">
            <v>0.19646844625976126</v>
          </cell>
          <cell r="H50">
            <v>0.28227849419690887</v>
          </cell>
          <cell r="I50">
            <v>0.44781799853599746</v>
          </cell>
          <cell r="J50">
            <v>0.55549089760108805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2.7516222829698003E-4</v>
          </cell>
          <cell r="E51">
            <v>2.4087714391671301E-4</v>
          </cell>
          <cell r="F51">
            <v>1.7367675440875599E-2</v>
          </cell>
          <cell r="G51">
            <v>3.4166327537441199E-2</v>
          </cell>
          <cell r="H51">
            <v>2.3194613001234501E-2</v>
          </cell>
          <cell r="I51">
            <v>4.78859906071403E-2</v>
          </cell>
          <cell r="J51">
            <v>6.4361447617039297E-2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2.7516656813704053E-4</v>
          </cell>
          <cell r="E52">
            <v>3.0089131372868492E-5</v>
          </cell>
          <cell r="F52">
            <v>1.7205880458671132E-2</v>
          </cell>
          <cell r="G52">
            <v>5.1057302680974997E-2</v>
          </cell>
          <cell r="H52">
            <v>7.3577792705198125E-2</v>
          </cell>
          <cell r="I52">
            <v>9.6147603053355693E-2</v>
          </cell>
          <cell r="J52">
            <v>0.10807231243866906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5.4722919745918884E-2</v>
          </cell>
          <cell r="F53">
            <v>3.4194417493835089E-3</v>
          </cell>
          <cell r="G53">
            <v>0.16441057041326471</v>
          </cell>
          <cell r="H53">
            <v>0.17518280883366746</v>
          </cell>
          <cell r="I53">
            <v>0.18826841729994523</v>
          </cell>
          <cell r="J53">
            <v>0.21820988630940233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3.2441566801198554</v>
          </cell>
          <cell r="E54">
            <v>3.8271834983213817</v>
          </cell>
          <cell r="F54">
            <v>4.9630346394655369</v>
          </cell>
          <cell r="G54">
            <v>5.8981026393857814</v>
          </cell>
          <cell r="H54">
            <v>6.0641437326656504</v>
          </cell>
          <cell r="I54">
            <v>6.3514152994795117</v>
          </cell>
          <cell r="J54">
            <v>5.7495669418962772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3.082908899073729</v>
          </cell>
          <cell r="E55">
            <v>3.5393268763488424</v>
          </cell>
          <cell r="F55">
            <v>1.6035797939051133</v>
          </cell>
          <cell r="G55">
            <v>2.1572173489483526</v>
          </cell>
          <cell r="H55">
            <v>2.3209061975364316</v>
          </cell>
          <cell r="I55">
            <v>2.5044595268295273</v>
          </cell>
          <cell r="J55">
            <v>2.3857098775142527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2.0131047531767807</v>
          </cell>
          <cell r="E56">
            <v>1.8879617069428996</v>
          </cell>
          <cell r="F56">
            <v>1.723070490059023</v>
          </cell>
          <cell r="G56">
            <v>2.6346427750573715</v>
          </cell>
          <cell r="H56">
            <v>3.0197157449949295</v>
          </cell>
          <cell r="I56">
            <v>3.4769324430318589</v>
          </cell>
          <cell r="J56">
            <v>3.7365714020276655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0.35038320116997812</v>
          </cell>
          <cell r="F57">
            <v>5.8877796156853054E-2</v>
          </cell>
          <cell r="G57">
            <v>0.2576850732650941</v>
          </cell>
          <cell r="H57">
            <v>0.29846840245504824</v>
          </cell>
          <cell r="I57">
            <v>0.3458342880857227</v>
          </cell>
          <cell r="J57">
            <v>0.42544631432208502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9.2189163284720301</v>
          </cell>
          <cell r="E58">
            <v>10.676183546015393</v>
          </cell>
          <cell r="F58">
            <v>9.2102728170518571</v>
          </cell>
          <cell r="G58">
            <v>12.209058898588196</v>
          </cell>
          <cell r="H58">
            <v>13.003351143329136</v>
          </cell>
          <cell r="I58">
            <v>14.033967387605387</v>
          </cell>
          <cell r="J58">
            <v>13.551321454953005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0.62872578402729395</v>
          </cell>
          <cell r="E59">
            <v>9.8494481158043597E-6</v>
          </cell>
          <cell r="F59">
            <v>7.4855704138889197E-6</v>
          </cell>
          <cell r="G59">
            <v>8.5454131953277205E-6</v>
          </cell>
          <cell r="H59">
            <v>5.1768526931827497E-4</v>
          </cell>
          <cell r="I59">
            <v>1.5454269930811299E-2</v>
          </cell>
          <cell r="J59">
            <v>5.90256082814464E-6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0.62872578402729395</v>
          </cell>
          <cell r="E60">
            <v>0.62873563347540995</v>
          </cell>
          <cell r="F60">
            <v>0.62874311904582303</v>
          </cell>
          <cell r="G60">
            <v>0.62875166445901898</v>
          </cell>
          <cell r="H60">
            <v>0.62926934972833704</v>
          </cell>
          <cell r="I60">
            <v>0.64472361965914804</v>
          </cell>
          <cell r="J60">
            <v>0.64472952221997604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1.8477303212783718E-2</v>
          </cell>
          <cell r="E61">
            <v>4.4309731786837123E-3</v>
          </cell>
          <cell r="F61">
            <v>8.2373721841995408E-3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3.4190689301063698E-2</v>
          </cell>
          <cell r="E62">
            <v>7.0231405794334966E-3</v>
          </cell>
          <cell r="F62">
            <v>1.8166152754064382E-2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5.2667992513847454E-2</v>
          </cell>
          <cell r="E63">
            <v>1.1454113758117206E-2</v>
          </cell>
          <cell r="F63">
            <v>2.6264146285527507E-2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73.239122145699255</v>
          </cell>
          <cell r="E64">
            <v>78.57808051542051</v>
          </cell>
          <cell r="F64">
            <v>62.631587545176224</v>
          </cell>
          <cell r="G64">
            <v>60.944788470074066</v>
          </cell>
          <cell r="H64">
            <v>60.171044755783939</v>
          </cell>
          <cell r="I64">
            <v>59.910110111901531</v>
          </cell>
          <cell r="J64">
            <v>58.419332144415137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9.1196048512748433</v>
          </cell>
          <cell r="F65">
            <v>2.3236179549947913</v>
          </cell>
          <cell r="G65">
            <v>4.6907855027135685</v>
          </cell>
          <cell r="H65">
            <v>6.9869374183165025</v>
          </cell>
          <cell r="I65">
            <v>9.1866061577635207</v>
          </cell>
          <cell r="J65">
            <v>13.861943146816269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6.1736155374772199</v>
          </cell>
          <cell r="E66">
            <v>5.2279712568500267</v>
          </cell>
          <cell r="F66">
            <v>6.7954740716128024</v>
          </cell>
          <cell r="G66">
            <v>6.5084223188485115</v>
          </cell>
          <cell r="H66">
            <v>5.7276529687464448</v>
          </cell>
          <cell r="I66">
            <v>4.8630387211704749</v>
          </cell>
          <cell r="J66">
            <v>3.3475511759153287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5.553970815025008</v>
          </cell>
          <cell r="E67">
            <v>6.0159819352655468</v>
          </cell>
          <cell r="F67">
            <v>4.8845488682816356</v>
          </cell>
          <cell r="G67">
            <v>6.306409427354704</v>
          </cell>
          <cell r="H67">
            <v>6.8699997234675649</v>
          </cell>
          <cell r="I67">
            <v>7.6309864554643649</v>
          </cell>
          <cell r="J67">
            <v>7.3759388122050371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2.3941021672557818</v>
          </cell>
          <cell r="E68">
            <v>0.5894863488465153</v>
          </cell>
          <cell r="F68">
            <v>0.52198247446151713</v>
          </cell>
          <cell r="G68">
            <v>0.30399371289949051</v>
          </cell>
          <cell r="H68">
            <v>0.26579349397035462</v>
          </cell>
          <cell r="I68">
            <v>0.2182953395111511</v>
          </cell>
          <cell r="J68">
            <v>0.15819117301309699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1.2231576316855999</v>
          </cell>
          <cell r="E69">
            <v>1.3408440109024429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4.2612733487174257</v>
          </cell>
          <cell r="E70">
            <v>4.6177026750116514</v>
          </cell>
          <cell r="F70">
            <v>4.74113573310352</v>
          </cell>
          <cell r="G70">
            <v>8.1723585314036349</v>
          </cell>
          <cell r="H70">
            <v>11.580811078163673</v>
          </cell>
          <cell r="I70">
            <v>15.846859245947499</v>
          </cell>
          <cell r="J70">
            <v>18.489094377097949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1.8771506481142195</v>
          </cell>
          <cell r="E71">
            <v>2.1601257705803349</v>
          </cell>
          <cell r="F71">
            <v>0.36389940041924101</v>
          </cell>
          <cell r="G71">
            <v>0.47075826318942304</v>
          </cell>
          <cell r="H71">
            <v>0.55067018125800105</v>
          </cell>
          <cell r="I71">
            <v>0.71175550133104226</v>
          </cell>
          <cell r="J71">
            <v>0.73431783870908807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0.68572188469556261</v>
          </cell>
          <cell r="E72">
            <v>0.74279796427719036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0.62710216400420538</v>
          </cell>
          <cell r="E73">
            <v>0.68743569104213953</v>
          </cell>
          <cell r="F73">
            <v>0.55478229561784964</v>
          </cell>
          <cell r="G73">
            <v>0.60824688262900894</v>
          </cell>
          <cell r="H73">
            <v>0.66065678979764697</v>
          </cell>
          <cell r="I73">
            <v>0.73659841905204093</v>
          </cell>
          <cell r="J73">
            <v>0.77794964257147836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24.189797043386285</v>
          </cell>
          <cell r="E74">
            <v>25.32358573032193</v>
          </cell>
          <cell r="F74">
            <v>19.399026731304602</v>
          </cell>
          <cell r="G74">
            <v>14.580020031693589</v>
          </cell>
          <cell r="H74">
            <v>9.764843973041673</v>
          </cell>
          <cell r="I74">
            <v>5.1984716653405085</v>
          </cell>
          <cell r="J74">
            <v>1.9492260961283017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2.3714014555608292</v>
          </cell>
          <cell r="G75">
            <v>6.6218235767430116</v>
          </cell>
          <cell r="H75">
            <v>8.6335229326786376</v>
          </cell>
          <cell r="I75">
            <v>11.067669503073887</v>
          </cell>
          <cell r="J75">
            <v>11.37915937598788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1.4101242347924117</v>
          </cell>
          <cell r="E76">
            <v>1.5274224691406926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24.84310667054552</v>
          </cell>
          <cell r="E77">
            <v>21.225121811907183</v>
          </cell>
          <cell r="F77">
            <v>20.675718559819455</v>
          </cell>
          <cell r="G77">
            <v>12.681970222599137</v>
          </cell>
          <cell r="H77">
            <v>9.1301561963433819</v>
          </cell>
          <cell r="I77">
            <v>4.4498291032470156</v>
          </cell>
          <cell r="J77">
            <v>0.34596050597075112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2.503876265760728E-3</v>
          </cell>
          <cell r="E78">
            <v>3.3962515696796028E-3</v>
          </cell>
          <cell r="F78">
            <v>1.3222689614160978E-2</v>
          </cell>
          <cell r="G78">
            <v>5.9731188508299095E-3</v>
          </cell>
          <cell r="H78">
            <v>1.1930604466768807E-2</v>
          </cell>
          <cell r="I78">
            <v>8.0468123511892777E-3</v>
          </cell>
          <cell r="J78">
            <v>6.3207132655893903E-3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2.503876265760728E-3</v>
          </cell>
          <cell r="E79">
            <v>3.3962515696796028E-3</v>
          </cell>
          <cell r="F79">
            <v>1.7047771240567819E-2</v>
          </cell>
          <cell r="G79">
            <v>7.2296294907607909E-3</v>
          </cell>
          <cell r="H79">
            <v>1.3928123361055695E-2</v>
          </cell>
          <cell r="I79">
            <v>9.3952437571689622E-3</v>
          </cell>
          <cell r="J79">
            <v>7.0233320951690629E-3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4.9957268332593001E-2</v>
          </cell>
          <cell r="E80">
            <v>1.38977530167136E-4</v>
          </cell>
          <cell r="F80">
            <v>7.8119803948069799E-4</v>
          </cell>
          <cell r="G80">
            <v>4.2488482811906702E-4</v>
          </cell>
          <cell r="H80">
            <v>1.2699259219369999E-3</v>
          </cell>
          <cell r="I80">
            <v>7.9556940892073201E-4</v>
          </cell>
          <cell r="J80">
            <v>6.64738900462291E-4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4.9957268332593001E-2</v>
          </cell>
          <cell r="E81">
            <v>4.7940433746219979E-4</v>
          </cell>
          <cell r="F81">
            <v>1.3192607518179994E-3</v>
          </cell>
          <cell r="G81">
            <v>6.6506331555400006E-4</v>
          </cell>
          <cell r="H81">
            <v>1.1784807806165011E-3</v>
          </cell>
          <cell r="I81">
            <v>8.2847505958030029E-4</v>
          </cell>
          <cell r="J81">
            <v>4.5418559768590008E-4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0.27780447798033869</v>
          </cell>
          <cell r="F82">
            <v>0.28552025423626026</v>
          </cell>
          <cell r="G82">
            <v>0.29610670964392505</v>
          </cell>
          <cell r="H82">
            <v>0.29234907920480552</v>
          </cell>
          <cell r="I82">
            <v>0.40489169987147122</v>
          </cell>
          <cell r="J82">
            <v>0.60951151805616266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0.27785030151261425</v>
          </cell>
          <cell r="F83">
            <v>0.28556553225029402</v>
          </cell>
          <cell r="G83">
            <v>0.29614144342672166</v>
          </cell>
          <cell r="H83">
            <v>0.29238802132402597</v>
          </cell>
          <cell r="I83">
            <v>0.40492333992947027</v>
          </cell>
          <cell r="J83">
            <v>0.60954315811416271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1.1037606942539E-2</v>
          </cell>
          <cell r="F84">
            <v>1.77831567011025E-4</v>
          </cell>
          <cell r="G84">
            <v>7.9573374059947898E-5</v>
          </cell>
          <cell r="H84">
            <v>2.7690927611961902E-4</v>
          </cell>
          <cell r="I84">
            <v>9.8535651836498105E-3</v>
          </cell>
          <cell r="J84">
            <v>1.53258847043296E-2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1.1037606942539E-2</v>
          </cell>
          <cell r="F85">
            <v>1.1201231770979274E-2</v>
          </cell>
          <cell r="G85">
            <v>1.1255768168051876E-2</v>
          </cell>
          <cell r="H85">
            <v>1.1489043615226929E-2</v>
          </cell>
          <cell r="I85">
            <v>1.6008453844096861E-2</v>
          </cell>
          <cell r="J85">
            <v>2.538763699219182E-2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1.4581196467108763E-2</v>
          </cell>
          <cell r="E86">
            <v>5.6129048253401946E-4</v>
          </cell>
          <cell r="F86">
            <v>3.6922729058987921E-3</v>
          </cell>
          <cell r="G86">
            <v>2.7279336995268043E-4</v>
          </cell>
          <cell r="H86">
            <v>3.0388849980771739E-4</v>
          </cell>
          <cell r="I86">
            <v>3.2502785712555589E-4</v>
          </cell>
          <cell r="J86">
            <v>2.2127738846700276E-4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>
            <v>4.3993282120330925E-6</v>
          </cell>
          <cell r="F87">
            <v>8.1770661582516199E-6</v>
          </cell>
          <cell r="G87">
            <v>2.0942554975015999E-5</v>
          </cell>
          <cell r="H87">
            <v>3.3484110389001007E-5</v>
          </cell>
          <cell r="I87">
            <v>1.0237643770347558E-4</v>
          </cell>
          <cell r="J87">
            <v>1.1692907230918055E-4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5.3826986452792325E-2</v>
          </cell>
          <cell r="E88">
            <v>2.0700570673417955E-2</v>
          </cell>
          <cell r="F88">
            <v>1.7180235264738785E-2</v>
          </cell>
          <cell r="G88">
            <v>1.57378663147612E-4</v>
          </cell>
          <cell r="H88">
            <v>7.5420589469897271E-5</v>
          </cell>
          <cell r="I88">
            <v>7.1592593799875103E-5</v>
          </cell>
          <cell r="J88">
            <v>6.29551328757007E-5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6.8408182919901139E-2</v>
          </cell>
          <cell r="E89">
            <v>2.1266804699343653E-2</v>
          </cell>
          <cell r="F89">
            <v>2.0880685236795836E-2</v>
          </cell>
          <cell r="G89">
            <v>4.5111458807530836E-4</v>
          </cell>
          <cell r="H89">
            <v>4.1279319966661528E-4</v>
          </cell>
          <cell r="I89">
            <v>4.989968886289066E-4</v>
          </cell>
          <cell r="J89">
            <v>4.0116159365188398E-4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3.5601573608479287</v>
          </cell>
          <cell r="E90">
            <v>3.4647541095190793</v>
          </cell>
          <cell r="F90">
            <v>0.12899021100237884</v>
          </cell>
          <cell r="G90">
            <v>4.382933590500058E-3</v>
          </cell>
          <cell r="H90">
            <v>3.876612328033311E-2</v>
          </cell>
          <cell r="I90">
            <v>6.0437062319505354E-3</v>
          </cell>
          <cell r="J90">
            <v>3.5054025893484758E-5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330.02658735060299</v>
          </cell>
          <cell r="E91">
            <v>321.18270595241898</v>
          </cell>
          <cell r="F91">
            <v>11.9573925599205</v>
          </cell>
          <cell r="G91">
            <v>0.40629794383935502</v>
          </cell>
          <cell r="H91">
            <v>3.5936196280868802</v>
          </cell>
          <cell r="I91">
            <v>0.56025156770181495</v>
          </cell>
          <cell r="J91">
            <v>3.24950820032604E-3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3.5601573608479287</v>
          </cell>
          <cell r="E92">
            <v>3.4647541095190793</v>
          </cell>
          <cell r="F92">
            <v>0.12899021100237884</v>
          </cell>
          <cell r="G92">
            <v>4.382933590500058E-3</v>
          </cell>
          <cell r="H92">
            <v>3.876612328033311E-2</v>
          </cell>
          <cell r="I92">
            <v>6.0437062319505354E-3</v>
          </cell>
          <cell r="J92">
            <v>3.5054025893484758E-5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7.1975525833996926E-2</v>
          </cell>
          <cell r="E93">
            <v>0.78083387731223763</v>
          </cell>
          <cell r="F93">
            <v>0.60713207917911105</v>
          </cell>
          <cell r="G93">
            <v>3.1450545735356465</v>
          </cell>
          <cell r="H93">
            <v>3.9194101336383964</v>
          </cell>
          <cell r="I93">
            <v>3.9216028316968656</v>
          </cell>
          <cell r="J93">
            <v>4.2473246456801013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7.1975525833996926E-2</v>
          </cell>
          <cell r="E94">
            <v>0.78083387731223763</v>
          </cell>
          <cell r="F94">
            <v>0.60713207917911105</v>
          </cell>
          <cell r="G94">
            <v>3.1450545735356465</v>
          </cell>
          <cell r="H94">
            <v>3.9194101336383964</v>
          </cell>
          <cell r="I94">
            <v>3.9216028316968656</v>
          </cell>
          <cell r="J94">
            <v>4.2473246456801013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2.7554077799323999E-2</v>
          </cell>
          <cell r="E95">
            <v>2.75539786011396E-2</v>
          </cell>
          <cell r="F95">
            <v>1.5861925378405399E-5</v>
          </cell>
          <cell r="G95">
            <v>0.167309286646081</v>
          </cell>
          <cell r="H95">
            <v>5.4666705336085801E-2</v>
          </cell>
          <cell r="I95">
            <v>9.2930100134385395E-5</v>
          </cell>
          <cell r="J95">
            <v>4.82592919409289E-2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2.7554077799323999E-2</v>
          </cell>
          <cell r="E96">
            <v>5.5107840083491753E-2</v>
          </cell>
          <cell r="F96">
            <v>5.5117544417588933E-2</v>
          </cell>
          <cell r="G96">
            <v>0.22242831932891682</v>
          </cell>
          <cell r="H96">
            <v>0.27709351912554098</v>
          </cell>
          <cell r="I96">
            <v>0.27718653198535376</v>
          </cell>
          <cell r="J96">
            <v>0.30008328102472692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4.6282832699191712</v>
          </cell>
          <cell r="E97">
            <v>3.1639894046457111</v>
          </cell>
          <cell r="F97">
            <v>3.7731573357621936E-2</v>
          </cell>
          <cell r="G97">
            <v>1.2481596664829309E-2</v>
          </cell>
          <cell r="H97">
            <v>3.929032895859089E-3</v>
          </cell>
          <cell r="I97">
            <v>3.1834263174253742E-3</v>
          </cell>
          <cell r="J97">
            <v>3.4813266591810668E-3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4.8718771262307055</v>
          </cell>
          <cell r="E98">
            <v>3.330515162784959</v>
          </cell>
          <cell r="F98">
            <v>4.1041417219887612E-2</v>
          </cell>
          <cell r="G98">
            <v>1.3576492330080321E-2</v>
          </cell>
          <cell r="H98">
            <v>4.2235548590355797E-3</v>
          </cell>
          <cell r="I98">
            <v>3.422057296978637E-3</v>
          </cell>
          <cell r="J98">
            <v>3.7422883740094869E-3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3.5902932955284299E-5</v>
          </cell>
          <cell r="E99">
            <v>8.1008534575081908E-6</v>
          </cell>
          <cell r="F99">
            <v>6.0817118223816303E-6</v>
          </cell>
          <cell r="G99">
            <v>1.2117004303629501E-5</v>
          </cell>
          <cell r="H99">
            <v>9.8304288285879705E-5</v>
          </cell>
          <cell r="I99">
            <v>3.25932083169807E-4</v>
          </cell>
          <cell r="J99">
            <v>1.46378505719233E-4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0.32683704688129428</v>
          </cell>
          <cell r="E100">
            <v>0.32672591689224684</v>
          </cell>
          <cell r="F100">
            <v>5.0356995806931093E-3</v>
          </cell>
          <cell r="G100">
            <v>1.6487051827047683E-3</v>
          </cell>
          <cell r="H100">
            <v>5.0063601646342659E-4</v>
          </cell>
          <cell r="I100">
            <v>4.0750387523822974E-4</v>
          </cell>
          <cell r="J100">
            <v>4.0830259916791362E-4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2.73810764560535E-3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2.73810764560535E-3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2.7657652985912645E-3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3.1589238110498099E-3</v>
          </cell>
          <cell r="F104">
            <v>1.7031327440453501E-3</v>
          </cell>
          <cell r="G104">
            <v>1.38972660042193E-3</v>
          </cell>
          <cell r="H104">
            <v>1.38606852689293E-3</v>
          </cell>
          <cell r="I104">
            <v>5.6475155823155305E-4</v>
          </cell>
          <cell r="J104">
            <v>4.0681763708660699E-7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3.1589238110498099E-3</v>
          </cell>
          <cell r="F105">
            <v>2.6261163918423203E-3</v>
          </cell>
          <cell r="G105">
            <v>2.5708940860903703E-3</v>
          </cell>
          <cell r="H105">
            <v>2.4709432951140501E-3</v>
          </cell>
          <cell r="I105">
            <v>1.12663790048899E-3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9.5902993517197388E-2</v>
          </cell>
          <cell r="E106">
            <v>1.2158535173980933</v>
          </cell>
          <cell r="F106">
            <v>1.021591906498738</v>
          </cell>
          <cell r="G106">
            <v>1.2152891119430846</v>
          </cell>
          <cell r="H106">
            <v>3.2461214367682589</v>
          </cell>
          <cell r="I106">
            <v>4.0241320610343436</v>
          </cell>
          <cell r="J106">
            <v>6.6151209805285012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9.5902993517197388E-2</v>
          </cell>
          <cell r="E107">
            <v>1.2158535173980933</v>
          </cell>
          <cell r="F107">
            <v>1.021591906498738</v>
          </cell>
          <cell r="G107">
            <v>1.2152891119430846</v>
          </cell>
          <cell r="H107">
            <v>3.2461214367682589</v>
          </cell>
          <cell r="I107">
            <v>4.0241320610343436</v>
          </cell>
          <cell r="J107">
            <v>6.6151209805285012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4.2914582724294E-2</v>
          </cell>
          <cell r="E108">
            <v>4.2914426077495203E-2</v>
          </cell>
          <cell r="F108">
            <v>1.29965655238573E-5</v>
          </cell>
          <cell r="G108">
            <v>3.0880596106192801E-4</v>
          </cell>
          <cell r="H108">
            <v>0.143396957494276</v>
          </cell>
          <cell r="I108">
            <v>5.4885756552527198E-2</v>
          </cell>
          <cell r="J108">
            <v>0.222336754444765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4.2914582724294E-2</v>
          </cell>
          <cell r="E109">
            <v>8.5828781884561944E-2</v>
          </cell>
          <cell r="F109">
            <v>8.5835484449639052E-2</v>
          </cell>
          <cell r="G109">
            <v>8.6146017598271521E-2</v>
          </cell>
          <cell r="H109">
            <v>0.2295414799703529</v>
          </cell>
          <cell r="I109">
            <v>0.28442720145601996</v>
          </cell>
          <cell r="J109">
            <v>0.46726456702504393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3.159057308536467E-2</v>
          </cell>
          <cell r="E110">
            <v>3.5698471880815786E-3</v>
          </cell>
          <cell r="F110">
            <v>3.746039049131953E-2</v>
          </cell>
          <cell r="G110">
            <v>8.8437381385151833E-4</v>
          </cell>
          <cell r="H110">
            <v>9.6528336009872747E-4</v>
          </cell>
          <cell r="I110">
            <v>9.4494491353199351E-4</v>
          </cell>
          <cell r="J110">
            <v>5.0783905214985003E-4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7.1630431747877251E-4</v>
          </cell>
          <cell r="E111">
            <v>2.1779361685312748E-4</v>
          </cell>
          <cell r="F111">
            <v>6.8672549433950291E-5</v>
          </cell>
          <cell r="G111">
            <v>1.4734579189417559E-4</v>
          </cell>
          <cell r="H111">
            <v>1.2242830786353431E-4</v>
          </cell>
          <cell r="I111">
            <v>1.1899842625141383E-4</v>
          </cell>
          <cell r="J111">
            <v>7.3202192594237862E-5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6.3299589391340664E-4</v>
          </cell>
          <cell r="E112">
            <v>1.0760778197992141E-4</v>
          </cell>
          <cell r="F112">
            <v>6.4390076225150661E-5</v>
          </cell>
          <cell r="G112">
            <v>1.1367041961808162E-4</v>
          </cell>
          <cell r="H112">
            <v>1.0537627526771117E-4</v>
          </cell>
          <cell r="I112">
            <v>1.5284159793656086E-4</v>
          </cell>
          <cell r="J112">
            <v>7.524300828747216E-5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5.382490178127686E-4</v>
          </cell>
          <cell r="E113">
            <v>1.4868872976468454E-4</v>
          </cell>
          <cell r="F113">
            <v>7.1914984971815118E-5</v>
          </cell>
          <cell r="G113">
            <v>6.7755334321466267E-5</v>
          </cell>
          <cell r="H113">
            <v>1.5292889127553199E-4</v>
          </cell>
          <cell r="I113">
            <v>1.8184781027314094E-4</v>
          </cell>
          <cell r="J113">
            <v>7.2314456069522899E-5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1.9763307501503534E-4</v>
          </cell>
          <cell r="E114">
            <v>1.7424416835493364E-4</v>
          </cell>
          <cell r="F114">
            <v>7.6237024782632945E-5</v>
          </cell>
          <cell r="G114">
            <v>1.174115127308193E-4</v>
          </cell>
          <cell r="H114">
            <v>6.5423001031919898E-5</v>
          </cell>
          <cell r="I114">
            <v>1.0780140517809619E-4</v>
          </cell>
          <cell r="J114">
            <v>1.0774327398804972E-5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1.5117944800488515E-2</v>
          </cell>
          <cell r="E115">
            <v>6.690006232687902E-4</v>
          </cell>
          <cell r="F115">
            <v>1.999894059116716E-2</v>
          </cell>
          <cell r="G115">
            <v>1.1547379233059459E-4</v>
          </cell>
          <cell r="H115">
            <v>2.1236200541927582E-4</v>
          </cell>
          <cell r="I115">
            <v>8.4181842392626086E-5</v>
          </cell>
          <cell r="J115">
            <v>4.3382019983541174E-5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5.2522698576197471E-4</v>
          </cell>
          <cell r="E116"/>
          <cell r="F116"/>
          <cell r="G116">
            <v>7.5679727935820039E-5</v>
          </cell>
          <cell r="H116">
            <v>1.1058217858977702E-4</v>
          </cell>
          <cell r="I116">
            <v>1.51149038985125E-4</v>
          </cell>
          <cell r="J116">
            <v>6.2929794167410267E-5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1.3494894570082204E-2</v>
          </cell>
          <cell r="E117">
            <v>4.1609431206916157E-4</v>
          </cell>
          <cell r="F117">
            <v>1.7180235264738785E-2</v>
          </cell>
          <cell r="G117">
            <v>1.57378663147612E-4</v>
          </cell>
          <cell r="H117">
            <v>7.5420589469897271E-5</v>
          </cell>
          <cell r="I117">
            <v>7.1592593799875103E-5</v>
          </cell>
          <cell r="J117">
            <v>6.29551328757007E-5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3.6732442481197361E-4</v>
          </cell>
          <cell r="E118">
            <v>1.8364179557909587E-3</v>
          </cell>
          <cell r="F118"/>
          <cell r="G118">
            <v>8.9658571872949089E-5</v>
          </cell>
          <cell r="H118">
            <v>1.207621111810801E-4</v>
          </cell>
          <cell r="I118">
            <v>7.6532198715155379E-5</v>
          </cell>
          <cell r="J118">
            <v>1.0703812077315995E-4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2.4561590242110201E-4</v>
          </cell>
          <cell r="H119">
            <v>4.36209980102007E-4</v>
          </cell>
          <cell r="I119">
            <v>2.7334408448424302E-4</v>
          </cell>
          <cell r="J119">
            <v>1.4839214157210599E-4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2.4561590242110201E-4</v>
          </cell>
          <cell r="H120">
            <v>5.5898135137044203E-4</v>
          </cell>
          <cell r="I120">
            <v>4.9315887062002404E-4</v>
          </cell>
          <cell r="J120">
            <v>2.5098415085321598E-4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7.1630431747877251E-4</v>
          </cell>
          <cell r="E121">
            <v>2.1779361685312748E-4</v>
          </cell>
          <cell r="F121">
            <v>6.8672549433950291E-5</v>
          </cell>
          <cell r="G121">
            <v>1.4734579189417559E-4</v>
          </cell>
          <cell r="H121">
            <v>1.2242830786353431E-4</v>
          </cell>
          <cell r="I121">
            <v>1.1899842625141383E-4</v>
          </cell>
          <cell r="J121">
            <v>7.3202192594237862E-5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2.163223388788832E-4</v>
          </cell>
          <cell r="E122">
            <v>3.3604900885971509E-4</v>
          </cell>
          <cell r="F122">
            <v>1.6324191380573413E-4</v>
          </cell>
          <cell r="G122">
            <v>2.8283506635738063E-4</v>
          </cell>
          <cell r="H122">
            <v>2.5698578563270949E-4</v>
          </cell>
          <cell r="I122">
            <v>3.2533341276887385E-4</v>
          </cell>
          <cell r="J122">
            <v>2.6393736328166734E-4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>
            <v>9.7386470648794632E-6</v>
          </cell>
          <cell r="F123">
            <v>9.6417139464393889E-6</v>
          </cell>
          <cell r="G123">
            <v>2.0961161426705436E-5</v>
          </cell>
          <cell r="H123">
            <v>3.4685672669246948E-5</v>
          </cell>
          <cell r="I123">
            <v>1.0667807878098366E-4</v>
          </cell>
          <cell r="J123">
            <v>1.2376845222450186E-4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9.3262665635765539E-4</v>
          </cell>
          <cell r="E124">
            <v>5.6358127277772181E-4</v>
          </cell>
          <cell r="F124">
            <v>2.4155617718612388E-4</v>
          </cell>
          <cell r="G124">
            <v>4.5114201967826149E-4</v>
          </cell>
          <cell r="H124">
            <v>4.1409976616549083E-4</v>
          </cell>
          <cell r="I124">
            <v>5.5100991780127192E-4</v>
          </cell>
          <cell r="J124">
            <v>4.6090800810040695E-4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3.0520798100829905</v>
          </cell>
          <cell r="E125">
            <v>3.5039336075853558</v>
          </cell>
          <cell r="F125">
            <v>1.4312378975475606</v>
          </cell>
          <cell r="G125">
            <v>1.9305270106924444</v>
          </cell>
          <cell r="H125">
            <v>2.0766085873696731</v>
          </cell>
          <cell r="I125">
            <v>2.242861161215592</v>
          </cell>
          <cell r="J125">
            <v>2.1428120875963987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3.0520798100829905</v>
          </cell>
          <cell r="E126">
            <v>3.5039336075853558</v>
          </cell>
          <cell r="F126">
            <v>1.4312378975475606</v>
          </cell>
          <cell r="G126">
            <v>1.9305270106924444</v>
          </cell>
          <cell r="H126">
            <v>2.0766085873696731</v>
          </cell>
          <cell r="I126">
            <v>2.242861161215592</v>
          </cell>
          <cell r="J126">
            <v>2.1428120875963987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3.082908899073729</v>
          </cell>
          <cell r="E127">
            <v>3.5393268763488424</v>
          </cell>
          <cell r="F127">
            <v>1.6035797939051133</v>
          </cell>
          <cell r="G127">
            <v>2.1572173489483526</v>
          </cell>
          <cell r="H127">
            <v>2.3209061975364316</v>
          </cell>
          <cell r="I127">
            <v>2.5044595268295273</v>
          </cell>
          <cell r="J127">
            <v>2.3857098775142527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0.18894577648989599</v>
          </cell>
          <cell r="F128">
            <v>7.6270209109688805E-2</v>
          </cell>
          <cell r="G128">
            <v>8.2409720931230904E-2</v>
          </cell>
          <cell r="H128">
            <v>8.26570641775453E-2</v>
          </cell>
          <cell r="I128">
            <v>9.0343842235201102E-2</v>
          </cell>
          <cell r="J128">
            <v>9.9391825924152202E-2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0.29006606886265796</v>
          </cell>
          <cell r="F129">
            <v>0.15305630533446796</v>
          </cell>
          <cell r="G129">
            <v>0.16766197948868805</v>
          </cell>
          <cell r="H129">
            <v>0.1752213798598381</v>
          </cell>
          <cell r="I129">
            <v>0.18524918535054302</v>
          </cell>
          <cell r="J129">
            <v>0.18874869527183302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8.281758535945255E-2</v>
          </cell>
          <cell r="E130">
            <v>0.97706756219146451</v>
          </cell>
          <cell r="F130">
            <v>0.80669534326030057</v>
          </cell>
          <cell r="G130">
            <v>0.97283210418358002</v>
          </cell>
          <cell r="H130">
            <v>0.97335354898032533</v>
          </cell>
          <cell r="I130">
            <v>2.7540199085623871</v>
          </cell>
          <cell r="J130">
            <v>4.8374010894736088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8.281758535945255E-2</v>
          </cell>
          <cell r="E131">
            <v>0.97706756219146451</v>
          </cell>
          <cell r="F131">
            <v>0.80669534326030057</v>
          </cell>
          <cell r="G131">
            <v>0.97283210418358002</v>
          </cell>
          <cell r="H131">
            <v>0.97335354898032533</v>
          </cell>
          <cell r="I131">
            <v>2.7540199085623871</v>
          </cell>
          <cell r="J131">
            <v>4.8374010894736088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3.44828029025364E-2</v>
          </cell>
          <cell r="E132">
            <v>3.4483310306072802E-2</v>
          </cell>
          <cell r="F132">
            <v>4.0228898601965999E-6</v>
          </cell>
          <cell r="G132">
            <v>1.25149362788056E-5</v>
          </cell>
          <cell r="H132">
            <v>2.0605813969583701E-5</v>
          </cell>
          <cell r="I132">
            <v>0.12569516402259601</v>
          </cell>
          <cell r="J132">
            <v>0.17870122958978199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3.44828029025364E-2</v>
          </cell>
          <cell r="E133">
            <v>6.8965892995784595E-2</v>
          </cell>
          <cell r="F133">
            <v>6.8963928327583648E-2</v>
          </cell>
          <cell r="G133">
            <v>6.8978422550085849E-2</v>
          </cell>
          <cell r="H133">
            <v>6.8997873634616139E-2</v>
          </cell>
          <cell r="I133">
            <v>0.19469310940270532</v>
          </cell>
          <cell r="J133">
            <v>0.34165753324441173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54.257553456478611</v>
          </cell>
          <cell r="E134">
            <v>54.970622629465694</v>
          </cell>
          <cell r="F134">
            <v>58.224173378107487</v>
          </cell>
          <cell r="G134">
            <v>54.703110916728427</v>
          </cell>
          <cell r="H134">
            <v>54.108802217925351</v>
          </cell>
          <cell r="I134">
            <v>53.381993764697313</v>
          </cell>
          <cell r="J134">
            <v>49.953973699467873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12.049824699378709</v>
          </cell>
          <cell r="E135">
            <v>14.511656261640704</v>
          </cell>
          <cell r="F135">
            <v>14.906466105331445</v>
          </cell>
          <cell r="G135">
            <v>17.483126436734754</v>
          </cell>
          <cell r="H135">
            <v>17.556556300861615</v>
          </cell>
          <cell r="I135">
            <v>16.392398476788372</v>
          </cell>
          <cell r="J135">
            <v>15.533374746982915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15.818429745570063</v>
          </cell>
          <cell r="E136">
            <v>13.326840319239121</v>
          </cell>
          <cell r="F136">
            <v>13.886037341456202</v>
          </cell>
          <cell r="G136">
            <v>12.208743836739105</v>
          </cell>
          <cell r="H136">
            <v>12.075681821320245</v>
          </cell>
          <cell r="I136">
            <v>10.585699944112378</v>
          </cell>
          <cell r="J136">
            <v>9.907938061748748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11.292225992114544</v>
          </cell>
          <cell r="E137">
            <v>14.491193975532033</v>
          </cell>
          <cell r="F137">
            <v>15.342351321407831</v>
          </cell>
          <cell r="G137">
            <v>13.314467550784496</v>
          </cell>
          <cell r="H137">
            <v>13.150485985767379</v>
          </cell>
          <cell r="I137">
            <v>14.401510446869686</v>
          </cell>
          <cell r="J137">
            <v>13.298231865883855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15.097720182607391</v>
          </cell>
          <cell r="E138">
            <v>12.641465639973545</v>
          </cell>
          <cell r="F138">
            <v>14.089318609912027</v>
          </cell>
          <cell r="G138">
            <v>11.69677309247008</v>
          </cell>
          <cell r="H138">
            <v>11.326078109976097</v>
          </cell>
          <cell r="I138">
            <v>12.0023848969269</v>
          </cell>
          <cell r="J138">
            <v>11.214429024852341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5.553970815025008</v>
          </cell>
          <cell r="E139">
            <v>6.0159819352655468</v>
          </cell>
          <cell r="F139">
            <v>4.8845488682816356</v>
          </cell>
          <cell r="G139">
            <v>6.306409427354704</v>
          </cell>
          <cell r="H139">
            <v>6.8699997234675649</v>
          </cell>
          <cell r="I139">
            <v>7.6309864554643649</v>
          </cell>
          <cell r="J139">
            <v>7.3759388122050371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5.553970815025008</v>
          </cell>
          <cell r="E140">
            <v>6.0159819352655468</v>
          </cell>
          <cell r="F140">
            <v>4.8845488682816356</v>
          </cell>
          <cell r="G140">
            <v>6.306409427354704</v>
          </cell>
          <cell r="H140">
            <v>6.8699997234675649</v>
          </cell>
          <cell r="I140">
            <v>7.6309864554643649</v>
          </cell>
          <cell r="J140">
            <v>7.3759388122050371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5.6100715303282938</v>
          </cell>
          <cell r="E141">
            <v>6.0767494295611515</v>
          </cell>
          <cell r="F141">
            <v>5.9482898181497221</v>
          </cell>
          <cell r="G141">
            <v>7.6471325057742057</v>
          </cell>
          <cell r="H141">
            <v>8.3305403502838278</v>
          </cell>
          <cell r="I141">
            <v>9.2533105005175731</v>
          </cell>
          <cell r="J141">
            <v>8.9440405195947381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4.9179264291370999E-7</v>
          </cell>
          <cell r="E142">
            <v>0.40110089840556701</v>
          </cell>
          <cell r="F142">
            <v>0.29113525651151001</v>
          </cell>
          <cell r="G142">
            <v>0.393180100792347</v>
          </cell>
          <cell r="H142">
            <v>0.47232729893897102</v>
          </cell>
          <cell r="I142">
            <v>0.45361815719964599</v>
          </cell>
          <cell r="J142">
            <v>0.549926880787309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0.84970074472284796</v>
          </cell>
          <cell r="E143">
            <v>0.83331592491419304</v>
          </cell>
          <cell r="F143">
            <v>0.61553296141679292</v>
          </cell>
          <cell r="G143">
            <v>0.7819012951691251</v>
          </cell>
          <cell r="H143">
            <v>0.84966742867751699</v>
          </cell>
          <cell r="I143">
            <v>0.84969457727188691</v>
          </cell>
          <cell r="J143">
            <v>0.84971684033085104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3.8537396151990981E-4</v>
          </cell>
          <cell r="E144">
            <v>3.574975765526597E-4</v>
          </cell>
          <cell r="F144">
            <v>0.19944297676150913</v>
          </cell>
          <cell r="G144">
            <v>6.7390851525743645E-2</v>
          </cell>
          <cell r="H144">
            <v>8.9341664793893133E-2</v>
          </cell>
          <cell r="I144">
            <v>0.72783965314537347</v>
          </cell>
          <cell r="J144">
            <v>1.0340403128656204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5.2502663195906488E-4</v>
          </cell>
          <cell r="E145">
            <v>3.9846227200896389E-4</v>
          </cell>
          <cell r="F145">
            <v>0.25739585435286033</v>
          </cell>
          <cell r="G145">
            <v>8.4148005580677615E-2</v>
          </cell>
          <cell r="H145">
            <v>0.10822765452173616</v>
          </cell>
          <cell r="I145">
            <v>0.85638950858873042</v>
          </cell>
          <cell r="J145">
            <v>1.1490423249118245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3.3229232952013597E-2</v>
          </cell>
          <cell r="E146">
            <v>0.14392754461728599</v>
          </cell>
          <cell r="F146">
            <v>3.4601676114824498E-3</v>
          </cell>
          <cell r="G146">
            <v>6.0593988126316597E-2</v>
          </cell>
          <cell r="H146">
            <v>0.11769700433543399</v>
          </cell>
          <cell r="I146">
            <v>9.2419657074161499E-2</v>
          </cell>
          <cell r="J146">
            <v>0.14468171540473401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3.3229232952013597E-2</v>
          </cell>
          <cell r="E147">
            <v>0.17703383581606147</v>
          </cell>
          <cell r="F147">
            <v>0.18043261937794172</v>
          </cell>
          <cell r="G147">
            <v>0.24102755026452249</v>
          </cell>
          <cell r="H147">
            <v>0.26380477923440543</v>
          </cell>
          <cell r="I147">
            <v>0.25199220208615897</v>
          </cell>
          <cell r="J147">
            <v>0.2614405987531972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3.7869871008209828E-2</v>
          </cell>
          <cell r="E148">
            <v>1.535965766169475E-2</v>
          </cell>
          <cell r="F148">
            <v>1.837966981124671E-2</v>
          </cell>
          <cell r="G148">
            <v>1.075403946433059E-2</v>
          </cell>
          <cell r="H148">
            <v>2.4012101014010485E-2</v>
          </cell>
          <cell r="I148">
            <v>0.91125728065662159</v>
          </cell>
          <cell r="J148">
            <v>0.85835446602188115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2.8017538147637557</v>
          </cell>
          <cell r="E149">
            <v>3.279152931785434</v>
          </cell>
          <cell r="F149">
            <v>9.9421092880579938</v>
          </cell>
          <cell r="G149">
            <v>17.640755068060738</v>
          </cell>
          <cell r="H149">
            <v>18.780767368076912</v>
          </cell>
          <cell r="I149">
            <v>39.416485248204815</v>
          </cell>
          <cell r="J149">
            <v>42.079460016584527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3.2944605147353974</v>
          </cell>
          <cell r="F150">
            <v>9.9604889578692468</v>
          </cell>
          <cell r="G150">
            <v>17.651509107525069</v>
          </cell>
          <cell r="H150">
            <v>18.804779469090921</v>
          </cell>
          <cell r="I150">
            <v>40.327742528861421</v>
          </cell>
          <cell r="J150">
            <v>42.937814482606406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696.84428324072303</v>
          </cell>
          <cell r="E151">
            <v>659.57888989984804</v>
          </cell>
          <cell r="F151">
            <v>657.33725117208303</v>
          </cell>
          <cell r="G151">
            <v>529.46975774415296</v>
          </cell>
          <cell r="H151">
            <v>427.39924934688497</v>
          </cell>
          <cell r="I151">
            <v>214.16070331970701</v>
          </cell>
          <cell r="J151">
            <v>6.1843559261606897E-3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9.2972343502235013</v>
          </cell>
          <cell r="E152">
            <v>8.800042791971638</v>
          </cell>
          <cell r="F152">
            <v>8.7710485782458143</v>
          </cell>
          <cell r="G152">
            <v>7.2996031348107948</v>
          </cell>
          <cell r="H152">
            <v>5.9378421040516258</v>
          </cell>
          <cell r="I152">
            <v>3.0927423014255768</v>
          </cell>
          <cell r="J152">
            <v>0.23557516834349768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9.455146312628532</v>
          </cell>
          <cell r="E153">
            <v>8.9495100393466611</v>
          </cell>
          <cell r="F153">
            <v>8.9190943171246015</v>
          </cell>
          <cell r="G153">
            <v>7.1841215433399217</v>
          </cell>
          <cell r="H153">
            <v>5.7991757034855516</v>
          </cell>
          <cell r="I153">
            <v>2.9058440070516554</v>
          </cell>
          <cell r="J153">
            <v>8.3912563448584657E-5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1.03544304550713E-3</v>
          </cell>
          <cell r="G154">
            <v>0.23949978993615362</v>
          </cell>
          <cell r="H154">
            <v>0.23952855198835835</v>
          </cell>
          <cell r="I154">
            <v>0.23954403498987087</v>
          </cell>
          <cell r="J154">
            <v>0.23961982334371595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0.20829118091584636</v>
          </cell>
          <cell r="G155">
            <v>0.76736049512897031</v>
          </cell>
          <cell r="H155">
            <v>0.70842340327593467</v>
          </cell>
          <cell r="I155">
            <v>1.0297567877171625</v>
          </cell>
          <cell r="J155">
            <v>0.90561156995463321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0.20808309781802856</v>
          </cell>
          <cell r="G156">
            <v>0.76659390122774174</v>
          </cell>
          <cell r="H156">
            <v>0.70771568758834635</v>
          </cell>
          <cell r="I156">
            <v>1.0287280596575046</v>
          </cell>
          <cell r="J156">
            <v>0.90470686309154214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0.20861929678932881</v>
          </cell>
          <cell r="G157">
            <v>0.76705590971704762</v>
          </cell>
          <cell r="H157">
            <v>0.70804174838615974</v>
          </cell>
          <cell r="I157">
            <v>1.0289691332582369</v>
          </cell>
          <cell r="J157">
            <v>0.90500314768830825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3.3219405827658702E-4</v>
          </cell>
          <cell r="E158">
            <v>2.4530956097597399E-4</v>
          </cell>
          <cell r="F158">
            <v>4.0700283057805202E-2</v>
          </cell>
          <cell r="G158">
            <v>7.5162930605727804E-2</v>
          </cell>
          <cell r="H158">
            <v>2.74265304934104E-2</v>
          </cell>
          <cell r="I158">
            <v>8.9021311626885605E-2</v>
          </cell>
          <cell r="J158">
            <v>7.8313268409876305E-2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3.3219405827658702E-4</v>
          </cell>
          <cell r="E159">
            <v>3.2850264951974923E-5</v>
          </cell>
          <cell r="F159">
            <v>4.0598274457489245E-2</v>
          </cell>
          <cell r="G159">
            <v>0.11551305057821826</v>
          </cell>
          <cell r="H159">
            <v>0.14203098614666823</v>
          </cell>
          <cell r="I159">
            <v>0.17340189418882476</v>
          </cell>
          <cell r="J159">
            <v>0.15352072250966572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2.8385584502829005E-3</v>
          </cell>
          <cell r="E160">
            <v>0.53889823920600244</v>
          </cell>
          <cell r="F160">
            <v>0.40131909985119912</v>
          </cell>
          <cell r="G160">
            <v>0.53466495940697245</v>
          </cell>
          <cell r="H160">
            <v>0.53493635842312259</v>
          </cell>
          <cell r="I160">
            <v>0.53559987585401103</v>
          </cell>
          <cell r="J160">
            <v>0.90757187853285048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2.8385584502829005E-3</v>
          </cell>
          <cell r="E161">
            <v>0.53889823920600244</v>
          </cell>
          <cell r="F161">
            <v>0.40131909985119912</v>
          </cell>
          <cell r="G161">
            <v>0.53466495940697245</v>
          </cell>
          <cell r="H161">
            <v>0.53493635842312259</v>
          </cell>
          <cell r="I161">
            <v>0.53559987585401103</v>
          </cell>
          <cell r="J161">
            <v>0.90757187853285048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1.9757985235467301E-4</v>
          </cell>
          <cell r="E162">
            <v>3.7827802242527797E-2</v>
          </cell>
          <cell r="F162">
            <v>2.0321588302506402E-6</v>
          </cell>
          <cell r="G162">
            <v>3.5176654578294301E-6</v>
          </cell>
          <cell r="H162">
            <v>4.0685434343628298E-6</v>
          </cell>
          <cell r="I162">
            <v>2.1448567054581601E-6</v>
          </cell>
          <cell r="J162">
            <v>4.2170965174810997E-2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1.9757985235467301E-4</v>
          </cell>
          <cell r="E163">
            <v>3.8025161334423685E-2</v>
          </cell>
          <cell r="F163">
            <v>3.8021327164572426E-2</v>
          </cell>
          <cell r="G163">
            <v>3.8026786028928242E-2</v>
          </cell>
          <cell r="H163">
            <v>3.8029760255248894E-2</v>
          </cell>
          <cell r="I163">
            <v>3.8032064050065907E-2</v>
          </cell>
          <cell r="J163">
            <v>6.4146837674510182E-2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2.3543076813399379E-2</v>
          </cell>
          <cell r="G164">
            <v>2.3607720378268787E-2</v>
          </cell>
          <cell r="H164">
            <v>2.6775095471073831E-2</v>
          </cell>
          <cell r="I164">
            <v>2.7574022251344678E-2</v>
          </cell>
          <cell r="J164">
            <v>2.6967833521528543E-2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2.3543076813399379E-2</v>
          </cell>
          <cell r="G165">
            <v>2.3607720378268787E-2</v>
          </cell>
          <cell r="H165">
            <v>2.6775095471073831E-2</v>
          </cell>
          <cell r="I165">
            <v>2.7574022251344678E-2</v>
          </cell>
          <cell r="J165">
            <v>2.6967833521528543E-2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1.05740499289857E-6</v>
          </cell>
          <cell r="F166">
            <v>1.8848163482599501E-3</v>
          </cell>
          <cell r="G166">
            <v>6.6041202107409E-6</v>
          </cell>
          <cell r="H166">
            <v>2.5518896649464099E-4</v>
          </cell>
          <cell r="I166">
            <v>2.4810529163158398E-5</v>
          </cell>
          <cell r="J166">
            <v>9.1562200853327201E-7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1.05740499289857E-6</v>
          </cell>
          <cell r="F167">
            <v>1.8853508468106392E-3</v>
          </cell>
          <cell r="G167">
            <v>1.8915012249283219E-3</v>
          </cell>
          <cell r="H167">
            <v>2.145812491335141E-3</v>
          </cell>
          <cell r="I167">
            <v>2.1706518833539317E-3</v>
          </cell>
          <cell r="J167">
            <v>2.1722823124242772E-3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2.5830093916652105E-3</v>
          </cell>
          <cell r="E168">
            <v>4.2386928099866515E-2</v>
          </cell>
          <cell r="F168">
            <v>2.3326891519045063E-2</v>
          </cell>
          <cell r="G168">
            <v>3.8635836942635289E-2</v>
          </cell>
          <cell r="H168">
            <v>3.888957453480154E-2</v>
          </cell>
          <cell r="I168">
            <v>3.9519737978140949E-2</v>
          </cell>
          <cell r="J168">
            <v>2.4212260999194476E-2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2.5830093916652105E-3</v>
          </cell>
          <cell r="E169">
            <v>4.2386928099866515E-2</v>
          </cell>
          <cell r="F169">
            <v>2.3326891519045063E-2</v>
          </cell>
          <cell r="G169">
            <v>3.8635836942635289E-2</v>
          </cell>
          <cell r="H169">
            <v>3.888957453480154E-2</v>
          </cell>
          <cell r="I169">
            <v>3.9519737978140949E-2</v>
          </cell>
          <cell r="J169">
            <v>2.4212260999194476E-2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1.56038675939833E-4</v>
          </cell>
          <cell r="E170">
            <v>2.8081098512049902E-3</v>
          </cell>
          <cell r="F170">
            <v>1.8605125680625501E-6</v>
          </cell>
          <cell r="G170">
            <v>3.0838040292635299E-6</v>
          </cell>
          <cell r="H170">
            <v>3.5379090466271898E-6</v>
          </cell>
          <cell r="I170">
            <v>2.0489591100540698E-6</v>
          </cell>
          <cell r="J170">
            <v>5.3004924823591199E-5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1.56038675939833E-4</v>
          </cell>
          <cell r="E171">
            <v>2.9639292006333369E-3</v>
          </cell>
          <cell r="F171">
            <v>2.9607966055596592E-3</v>
          </cell>
          <cell r="G171">
            <v>2.965239998108059E-3</v>
          </cell>
          <cell r="H171">
            <v>2.9676463957711719E-3</v>
          </cell>
          <cell r="I171">
            <v>2.9697853662478879E-3</v>
          </cell>
          <cell r="J171">
            <v>1.7620660557307723E-3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28.61986559200254</v>
          </cell>
          <cell r="E172">
            <v>25.727636490005015</v>
          </cell>
          <cell r="F172">
            <v>28.100348063994108</v>
          </cell>
          <cell r="G172">
            <v>18.537435265853812</v>
          </cell>
          <cell r="H172">
            <v>8.7360223331326825</v>
          </cell>
          <cell r="I172">
            <v>4.219226759023945</v>
          </cell>
          <cell r="J172">
            <v>0.90242787929252077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2005.1599254799301</v>
          </cell>
          <cell r="E173">
            <v>1800.94870508901</v>
          </cell>
          <cell r="F173">
            <v>1964.4628184943299</v>
          </cell>
          <cell r="G173">
            <v>1293.1071691124801</v>
          </cell>
          <cell r="H173">
            <v>608.06978973267599</v>
          </cell>
          <cell r="I173">
            <v>293.04170371340501</v>
          </cell>
          <cell r="J173">
            <v>62.406371793599199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35.55248094822565</v>
          </cell>
          <cell r="E174">
            <v>31.931714629237785</v>
          </cell>
          <cell r="F174">
            <v>34.830901037133394</v>
          </cell>
          <cell r="G174">
            <v>22.927432076462487</v>
          </cell>
          <cell r="H174">
            <v>10.78137925057937</v>
          </cell>
          <cell r="I174">
            <v>5.1957748885355519</v>
          </cell>
          <cell r="J174">
            <v>1.1064959537872199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3.9058649103080102E-3</v>
          </cell>
          <cell r="F175">
            <v>3.96512739436722E-3</v>
          </cell>
          <cell r="G175">
            <v>6.7825152563096198E-4</v>
          </cell>
          <cell r="H175">
            <v>0.17707586031448999</v>
          </cell>
          <cell r="I175">
            <v>0.11616993040065</v>
          </cell>
          <cell r="J175">
            <v>9.55094325061269E-4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1.5604062537101038</v>
          </cell>
          <cell r="F176">
            <v>1.5642058755060602</v>
          </cell>
          <cell r="G176">
            <v>1.4059536311602332</v>
          </cell>
          <cell r="H176">
            <v>0.54387398736021442</v>
          </cell>
          <cell r="I176">
            <v>0.27936084837777359</v>
          </cell>
          <cell r="J176">
            <v>7.9892069102764807E-2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2.164313236724601E-2</v>
          </cell>
          <cell r="F177">
            <v>1.9830112040056347E-4</v>
          </cell>
          <cell r="G177">
            <v>9.3582405652693822E-5</v>
          </cell>
          <cell r="H177">
            <v>6.6203363763912726E-5</v>
          </cell>
          <cell r="I177">
            <v>5.2199215285924531E-5</v>
          </cell>
          <cell r="J177">
            <v>1.4049379899633825E-4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2.164313236724601E-2</v>
          </cell>
          <cell r="F178">
            <v>1.9830112040056347E-4</v>
          </cell>
          <cell r="G178">
            <v>9.3582405652693822E-5</v>
          </cell>
          <cell r="H178">
            <v>6.6203363763912726E-5</v>
          </cell>
          <cell r="I178">
            <v>5.2199215285924531E-5</v>
          </cell>
          <cell r="J178">
            <v>1.4049379899633825E-4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4.1482871892149203E-3</v>
          </cell>
          <cell r="F179">
            <v>7.9724455897801298E-4</v>
          </cell>
          <cell r="G179">
            <v>2.1300623449086501E-3</v>
          </cell>
          <cell r="H179">
            <v>7.3023387261470798E-4</v>
          </cell>
          <cell r="I179">
            <v>1.1111544750509301E-3</v>
          </cell>
          <cell r="J179">
            <v>1.19650879970452E-3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4.1482871892149203E-3</v>
          </cell>
          <cell r="F180">
            <v>4.9366026277432497E-3</v>
          </cell>
          <cell r="G180">
            <v>7.044670117202877E-3</v>
          </cell>
          <cell r="H180">
            <v>5.7463255119061174E-3</v>
          </cell>
          <cell r="I180">
            <v>3.424338387066976E-3</v>
          </cell>
          <cell r="J180">
            <v>2.30459987339109E-3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1.4011965545764353</v>
          </cell>
          <cell r="E181">
            <v>1.6078399858069594</v>
          </cell>
          <cell r="F181">
            <v>0.2859725927725541</v>
          </cell>
          <cell r="G181">
            <v>0.3372555642955446</v>
          </cell>
          <cell r="H181">
            <v>0.34322816305006032</v>
          </cell>
          <cell r="I181">
            <v>0.36288145455203763</v>
          </cell>
          <cell r="J181">
            <v>0.28504290256680503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1.4011965545764353</v>
          </cell>
          <cell r="E182">
            <v>1.6078399858069594</v>
          </cell>
          <cell r="F182">
            <v>0.2859725927725541</v>
          </cell>
          <cell r="G182">
            <v>0.3372555642955446</v>
          </cell>
          <cell r="H182">
            <v>0.34322816305006032</v>
          </cell>
          <cell r="I182">
            <v>0.36288145455203763</v>
          </cell>
          <cell r="J182">
            <v>0.28504290256680503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1.5568850606404836</v>
          </cell>
          <cell r="E183">
            <v>1.786488873118844</v>
          </cell>
          <cell r="F183">
            <v>0.38937415154946409</v>
          </cell>
          <cell r="G183">
            <v>0.45919994615482812</v>
          </cell>
          <cell r="H183">
            <v>0.46733210857654139</v>
          </cell>
          <cell r="I183">
            <v>0.4914996690551548</v>
          </cell>
          <cell r="J183">
            <v>0.38110935858458078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5.1264948726625502E-5</v>
          </cell>
          <cell r="E184">
            <v>1.4844124731681899E-2</v>
          </cell>
          <cell r="F184">
            <v>2.4636206040989599E-6</v>
          </cell>
          <cell r="G184">
            <v>2.1571892593608601E-5</v>
          </cell>
          <cell r="H184">
            <v>1.0532252028714001E-2</v>
          </cell>
          <cell r="I184">
            <v>1.5843619138865801E-2</v>
          </cell>
          <cell r="J184">
            <v>4.4758977981801196E-3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9.975032106900722E-2</v>
          </cell>
          <cell r="E185">
            <v>0.11459307664197284</v>
          </cell>
          <cell r="F185">
            <v>4.1215864494280191E-2</v>
          </cell>
          <cell r="G185">
            <v>4.1223642354234799E-2</v>
          </cell>
          <cell r="H185">
            <v>2.4972347990531701E-2</v>
          </cell>
          <cell r="I185">
            <v>2.6383595146909574E-2</v>
          </cell>
          <cell r="J185">
            <v>2.0425286503379065E-2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1.0647763131570242E-2</v>
          </cell>
          <cell r="F186">
            <v>5.303698133591904E-3</v>
          </cell>
          <cell r="G186">
            <v>8.1489952890162649E-3</v>
          </cell>
          <cell r="H186">
            <v>8.3689083503210356E-3</v>
          </cell>
          <cell r="I186">
            <v>8.6340210605848362E-3</v>
          </cell>
          <cell r="J186">
            <v>5.7093358075479671E-3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1.0647763131570242E-2</v>
          </cell>
          <cell r="F187">
            <v>5.303698133591904E-3</v>
          </cell>
          <cell r="G187">
            <v>8.1489952890162649E-3</v>
          </cell>
          <cell r="H187">
            <v>8.3689083503210356E-3</v>
          </cell>
          <cell r="I187">
            <v>8.6340210605848362E-3</v>
          </cell>
          <cell r="J187">
            <v>5.7093358075479671E-3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7.1871209231234704E-4</v>
          </cell>
          <cell r="F188">
            <v>3.2909355438299398E-6</v>
          </cell>
          <cell r="G188">
            <v>2.8815419590893799E-6</v>
          </cell>
          <cell r="H188">
            <v>3.07190403667602E-6</v>
          </cell>
          <cell r="I188">
            <v>1.5275108699369001E-6</v>
          </cell>
          <cell r="J188">
            <v>1.7750128702165602E-5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7.1871209231234704E-4</v>
          </cell>
          <cell r="F189">
            <v>7.2070495938604312E-4</v>
          </cell>
          <cell r="G189">
            <v>7.2303858604051826E-4</v>
          </cell>
          <cell r="H189">
            <v>7.2513380117979036E-4</v>
          </cell>
          <cell r="I189">
            <v>7.262813844842893E-4</v>
          </cell>
          <cell r="J189">
            <v>4.4137383358943999E-4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5.2025610325042247E-3</v>
          </cell>
          <cell r="F190">
            <v>2.6318343497355344E-3</v>
          </cell>
          <cell r="G190">
            <v>3.4741393483202288E-3</v>
          </cell>
          <cell r="H190">
            <v>3.6742231845631468E-3</v>
          </cell>
          <cell r="I190">
            <v>3.7860996042413859E-3</v>
          </cell>
          <cell r="J190">
            <v>2.5479768920930687E-3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5.2025610325042247E-3</v>
          </cell>
          <cell r="F191">
            <v>2.6318343497355344E-3</v>
          </cell>
          <cell r="G191">
            <v>3.4741393483202288E-3</v>
          </cell>
          <cell r="H191">
            <v>3.6742231845631468E-3</v>
          </cell>
          <cell r="I191">
            <v>3.7860996042413859E-3</v>
          </cell>
          <cell r="J191">
            <v>2.5479768920930687E-3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3.3084795824900797E-4</v>
          </cell>
          <cell r="F192">
            <v>3.19398837175629E-6</v>
          </cell>
          <cell r="G192">
            <v>2.78033999786339E-6</v>
          </cell>
          <cell r="H192">
            <v>2.1855052199548899E-6</v>
          </cell>
          <cell r="I192">
            <v>1.0946400119398299E-6</v>
          </cell>
          <cell r="J192">
            <v>5.23192983595816E-6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3.3084795824900797E-4</v>
          </cell>
          <cell r="F193">
            <v>3.3323051180127975E-4</v>
          </cell>
          <cell r="G193">
            <v>3.3547986369330429E-4</v>
          </cell>
          <cell r="H193">
            <v>3.3692149139598056E-4</v>
          </cell>
          <cell r="I193">
            <v>3.3761514675055798E-4</v>
          </cell>
          <cell r="J193">
            <v>2.0345731034110363E-4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1.5612478774855389E-3</v>
          </cell>
          <cell r="F194">
            <v>9.4840919356470191E-4</v>
          </cell>
          <cell r="G194">
            <v>8.8536370786664465E-4</v>
          </cell>
          <cell r="H194">
            <v>1.0453501380749939E-3</v>
          </cell>
          <cell r="I194">
            <v>1.0328064873410528E-3</v>
          </cell>
          <cell r="J194">
            <v>7.2277550965156828E-4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1.5612478774855389E-3</v>
          </cell>
          <cell r="F195">
            <v>9.4840919356470191E-4</v>
          </cell>
          <cell r="G195">
            <v>8.8536370786664465E-4</v>
          </cell>
          <cell r="H195">
            <v>1.0453501380749939E-3</v>
          </cell>
          <cell r="I195">
            <v>1.0328064873410528E-3</v>
          </cell>
          <cell r="J195">
            <v>7.2277550965156828E-4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6.8019906016566798E-5</v>
          </cell>
          <cell r="F196">
            <v>6.1752648509837502E-6</v>
          </cell>
          <cell r="G196">
            <v>1.9315323466210199E-6</v>
          </cell>
          <cell r="H196">
            <v>8.6190741439186599E-7</v>
          </cell>
          <cell r="I196">
            <v>5.4514233990023099E-7</v>
          </cell>
          <cell r="J196">
            <v>9.0112525922404803E-7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6.8019906016566798E-5</v>
          </cell>
          <cell r="F197">
            <v>7.3818965577373107E-5</v>
          </cell>
          <cell r="G197">
            <v>7.5463693980783625E-5</v>
          </cell>
          <cell r="H197">
            <v>7.5915430126364668E-5</v>
          </cell>
          <cell r="I197">
            <v>7.6207978552581112E-5</v>
          </cell>
          <cell r="J197">
            <v>4.7507141087987326E-5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9.1581792635489645</v>
          </cell>
          <cell r="E198">
            <v>10.276110518746831</v>
          </cell>
          <cell r="F198">
            <v>19.821348099759835</v>
          </cell>
          <cell r="G198">
            <v>23.722558913336169</v>
          </cell>
          <cell r="H198">
            <v>25.449060924535043</v>
          </cell>
          <cell r="I198">
            <v>27.259975243649382</v>
          </cell>
          <cell r="J198">
            <v>26.206976244267043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2.8619310198590506</v>
          </cell>
          <cell r="E199">
            <v>3.158640528303331</v>
          </cell>
          <cell r="F199">
            <v>6.8749383983067274</v>
          </cell>
          <cell r="G199">
            <v>7.5787461641800995</v>
          </cell>
          <cell r="H199">
            <v>7.6592444639109196</v>
          </cell>
          <cell r="I199">
            <v>7.7342940210706645</v>
          </cell>
          <cell r="J199">
            <v>6.59404485005276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9.1581792635489645</v>
          </cell>
          <cell r="E200">
            <v>10.276110518746831</v>
          </cell>
          <cell r="F200">
            <v>19.821348099759835</v>
          </cell>
          <cell r="G200">
            <v>23.722558913336169</v>
          </cell>
          <cell r="H200">
            <v>25.449060924535043</v>
          </cell>
          <cell r="I200">
            <v>27.259975243649382</v>
          </cell>
          <cell r="J200">
            <v>26.206976244267043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9.4222437824138795E-7</v>
          </cell>
          <cell r="E201">
            <v>9.0332058155752695E-2</v>
          </cell>
          <cell r="F201">
            <v>0.77167381067447605</v>
          </cell>
          <cell r="G201">
            <v>0.31508780186831598</v>
          </cell>
          <cell r="H201">
            <v>0.73162376110568605</v>
          </cell>
          <cell r="I201">
            <v>1.1191763635951499</v>
          </cell>
          <cell r="J201">
            <v>0.99569879125690597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0.73983887014974314</v>
          </cell>
          <cell r="E202">
            <v>0.83016972472571915</v>
          </cell>
          <cell r="F202">
            <v>1.601834702661747</v>
          </cell>
          <cell r="G202">
            <v>1.9169209604221538</v>
          </cell>
          <cell r="H202">
            <v>2.0565150007917556</v>
          </cell>
          <cell r="I202">
            <v>2.2026754555705415</v>
          </cell>
          <cell r="J202">
            <v>2.1173930006038879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3.2403546952116806</v>
          </cell>
          <cell r="E203">
            <v>3.6355937942459446</v>
          </cell>
          <cell r="F203">
            <v>4.9088928545059645</v>
          </cell>
          <cell r="G203">
            <v>7.4597172251586263</v>
          </cell>
          <cell r="H203">
            <v>9.8117525062072843</v>
          </cell>
          <cell r="I203">
            <v>12.525450667779198</v>
          </cell>
          <cell r="J203">
            <v>15.268913787888508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1.1490619486566245</v>
          </cell>
          <cell r="E204">
            <v>1.2864804650551829</v>
          </cell>
          <cell r="F204">
            <v>2.611716605688466</v>
          </cell>
          <cell r="G204">
            <v>3.5610341070590952</v>
          </cell>
          <cell r="H204">
            <v>4.3317961887065204</v>
          </cell>
          <cell r="I204">
            <v>5.1765837976424027</v>
          </cell>
          <cell r="J204">
            <v>5.603828577390674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3.0310659094796301E-5</v>
          </cell>
          <cell r="E205">
            <v>3.3017868546791999E-2</v>
          </cell>
          <cell r="F205">
            <v>7.9375059513779003E-2</v>
          </cell>
          <cell r="G205">
            <v>0.17379910293193901</v>
          </cell>
          <cell r="H205">
            <v>0.34566981568782801</v>
          </cell>
          <cell r="I205">
            <v>0.37796855064254697</v>
          </cell>
          <cell r="J205">
            <v>0.62260634755676103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0.21338297307833579</v>
          </cell>
          <cell r="E206">
            <v>0.24639620315705729</v>
          </cell>
          <cell r="F206">
            <v>0.32576477538184495</v>
          </cell>
          <cell r="G206">
            <v>0.49955917690513002</v>
          </cell>
          <cell r="H206">
            <v>0.67107261941956309</v>
          </cell>
          <cell r="I206">
            <v>0.85639031596925552</v>
          </cell>
          <cell r="J206">
            <v>1.0431234765811639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5.6088509880527848</v>
          </cell>
          <cell r="E207">
            <v>6.0096829821632367</v>
          </cell>
          <cell r="F207">
            <v>6.3257294623133511</v>
          </cell>
          <cell r="G207">
            <v>6.8231644023985361</v>
          </cell>
          <cell r="H207">
            <v>8.6580517733357922</v>
          </cell>
          <cell r="I207">
            <v>8.5519598897579936</v>
          </cell>
          <cell r="J207">
            <v>9.9771256916320485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6.1511254032327073E-4</v>
          </cell>
          <cell r="F208">
            <v>1.9567870384876889E-3</v>
          </cell>
          <cell r="G208">
            <v>1.9908921101169548E-3</v>
          </cell>
          <cell r="H208">
            <v>1.0431848109020913E-2</v>
          </cell>
          <cell r="I208">
            <v>1.9958046393266596E-2</v>
          </cell>
          <cell r="J208">
            <v>3.1706917596514691E-3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5.6088509880527848</v>
          </cell>
          <cell r="E209">
            <v>6.0102980947035585</v>
          </cell>
          <cell r="F209">
            <v>6.3276862493518342</v>
          </cell>
          <cell r="G209">
            <v>6.8251552945086491</v>
          </cell>
          <cell r="H209">
            <v>8.668483621444814</v>
          </cell>
          <cell r="I209">
            <v>8.5719179361512623</v>
          </cell>
          <cell r="J209">
            <v>9.980296383391698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6.1305718856393689E-4</v>
          </cell>
          <cell r="F210">
            <v>5.0428126648462612E-4</v>
          </cell>
          <cell r="G210">
            <v>3.4091585925575754E-4</v>
          </cell>
          <cell r="H210">
            <v>4.7451116767847077E-4</v>
          </cell>
          <cell r="I210">
            <v>4.2357155859391811E-4</v>
          </cell>
          <cell r="J210">
            <v>3.0088070778870607E-4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6.1305718856393689E-4</v>
          </cell>
          <cell r="F211">
            <v>5.0428126648462612E-4</v>
          </cell>
          <cell r="G211">
            <v>3.4091585925575754E-4</v>
          </cell>
          <cell r="H211">
            <v>4.7451116767847077E-4</v>
          </cell>
          <cell r="I211">
            <v>4.2357155859391811E-4</v>
          </cell>
          <cell r="J211">
            <v>3.0088070778870607E-4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>
            <v>3.0530712870233E-7</v>
          </cell>
          <cell r="F212">
            <v>1.27864383280242E-6</v>
          </cell>
          <cell r="G212">
            <v>4.9552869065299004E-7</v>
          </cell>
          <cell r="H212">
            <v>2.7104883085760701E-7</v>
          </cell>
          <cell r="I212">
            <v>1.9460053273513699E-7</v>
          </cell>
          <cell r="J212">
            <v>2.4809056703004001E-7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>
            <v>3.0530712870233E-7</v>
          </cell>
          <cell r="F213">
            <v>1.365415282036947E-6</v>
          </cell>
          <cell r="G213">
            <v>1.7258281105164899E-6</v>
          </cell>
          <cell r="H213">
            <v>1.7404560190734991E-6</v>
          </cell>
          <cell r="I213">
            <v>1.8043204449850318E-6</v>
          </cell>
          <cell r="J213">
            <v>1.8193564940879399E-6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4.2617262197864543</v>
          </cell>
          <cell r="E214">
            <v>4.6178551473715137</v>
          </cell>
          <cell r="F214">
            <v>4.7411865930509869</v>
          </cell>
          <cell r="G214">
            <v>8.1724895490911926</v>
          </cell>
          <cell r="H214">
            <v>11.580974593806914</v>
          </cell>
          <cell r="I214">
            <v>15.847027969103261</v>
          </cell>
          <cell r="J214">
            <v>18.4892094809505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4.2617262197864543</v>
          </cell>
          <cell r="E215">
            <v>4.6178551473715137</v>
          </cell>
          <cell r="F215">
            <v>4.7411865930509869</v>
          </cell>
          <cell r="G215">
            <v>8.1724895490911926</v>
          </cell>
          <cell r="H215">
            <v>11.580974593806914</v>
          </cell>
          <cell r="I215">
            <v>15.847027969103261</v>
          </cell>
          <cell r="J215">
            <v>18.4892094809505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1.3317894436832673</v>
          </cell>
          <cell r="E216">
            <v>1.4252639343739246</v>
          </cell>
          <cell r="F216">
            <v>1.6815575406656758</v>
          </cell>
          <cell r="G216">
            <v>2.593608142969277</v>
          </cell>
          <cell r="H216">
            <v>3.4368066028351967</v>
          </cell>
          <cell r="I216">
            <v>4.4365094956719702</v>
          </cell>
          <cell r="J216">
            <v>4.797012383359947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6.6486584764040704E-6</v>
          </cell>
          <cell r="E217">
            <v>1.51399875747709E-5</v>
          </cell>
          <cell r="F217">
            <v>4.8005337205155101E-5</v>
          </cell>
          <cell r="G217">
            <v>0.20195300993288201</v>
          </cell>
          <cell r="H217">
            <v>0.58288150543255701</v>
          </cell>
          <cell r="I217">
            <v>0.50569610424995903</v>
          </cell>
          <cell r="J217">
            <v>0.82103120734597601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0.43062396211226439</v>
          </cell>
          <cell r="E218">
            <v>0.43062109165418205</v>
          </cell>
          <cell r="F218">
            <v>0.43065670907275672</v>
          </cell>
          <cell r="G218">
            <v>0.63261851548300374</v>
          </cell>
          <cell r="H218">
            <v>0.89653273656274612</v>
          </cell>
          <cell r="I218">
            <v>1.2265059934409552</v>
          </cell>
          <cell r="J218">
            <v>1.4345822786917395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4.8959306840296209E-2</v>
          </cell>
          <cell r="E219">
            <v>0.14059359000261218</v>
          </cell>
          <cell r="F219">
            <v>9.6975582639591135E-2</v>
          </cell>
          <cell r="G219">
            <v>0.1500514401400993</v>
          </cell>
          <cell r="H219">
            <v>0.10597655580676792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2.1594579518456905E-2</v>
          </cell>
          <cell r="E220">
            <v>2.5971872394766941E-2</v>
          </cell>
          <cell r="F220">
            <v>2.8768544440016051E-2</v>
          </cell>
          <cell r="G220">
            <v>1.1506042097067294E-2</v>
          </cell>
          <cell r="H220">
            <v>3.3214513323613026E-2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7.0553886358753079E-2</v>
          </cell>
          <cell r="E221">
            <v>0.16656546239737904</v>
          </cell>
          <cell r="F221">
            <v>0.12551260495420383</v>
          </cell>
          <cell r="G221">
            <v>0.16131818156861827</v>
          </cell>
          <cell r="H221">
            <v>0.13889698933842837</v>
          </cell>
          <cell r="I221"/>
          <cell r="J221"/>
        </row>
        <row r="222">
          <cell r="A222" t="str">
            <v>RHSA-WHCONBR1</v>
          </cell>
          <cell r="B222" t="str">
            <v>VAR_ncap</v>
          </cell>
          <cell r="C222" t="str">
            <v>-</v>
          </cell>
          <cell r="D222"/>
          <cell r="E222"/>
          <cell r="F222">
            <v>375</v>
          </cell>
          <cell r="G222">
            <v>4.73106761837278</v>
          </cell>
          <cell r="H222">
            <v>4.3003918622553901</v>
          </cell>
          <cell r="I222"/>
          <cell r="J222"/>
          <cell r="K222"/>
        </row>
        <row r="223">
          <cell r="A223" t="str">
            <v>RHSA-WHCONBR1</v>
          </cell>
          <cell r="B223" t="str">
            <v>VAR_cap</v>
          </cell>
          <cell r="C223" t="str">
            <v>-</v>
          </cell>
          <cell r="D223"/>
          <cell r="E223"/>
          <cell r="F223">
            <v>375</v>
          </cell>
          <cell r="G223">
            <v>11.848368678838028</v>
          </cell>
          <cell r="H223">
            <v>10.947118884980966</v>
          </cell>
          <cell r="I223">
            <v>6.3311927241839498</v>
          </cell>
          <cell r="J223">
            <v>2.8355470014540174</v>
          </cell>
          <cell r="K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D224"/>
          <cell r="E224">
            <v>6.9113187218625804E-2</v>
          </cell>
          <cell r="F224">
            <v>4.4314296878840724E-3</v>
          </cell>
          <cell r="G224">
            <v>1.0612758938215821E-2</v>
          </cell>
          <cell r="H224">
            <v>1.1020479708289427E-2</v>
          </cell>
          <cell r="I224">
            <v>1.1313978598475487E-2</v>
          </cell>
          <cell r="J224">
            <v>9.6021724634759026E-3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D225"/>
          <cell r="E225">
            <v>7.27507233880271E-2</v>
          </cell>
          <cell r="F225">
            <v>4.6646628293516576E-3</v>
          </cell>
          <cell r="G225">
            <v>1.1171325198121928E-2</v>
          </cell>
          <cell r="H225">
            <v>1.1600504956094142E-2</v>
          </cell>
          <cell r="I225">
            <v>1.1909451156289993E-2</v>
          </cell>
          <cell r="J225">
            <v>1.0107549961553587E-2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D226"/>
          <cell r="E226">
            <v>8.8505591998820198E-3</v>
          </cell>
          <cell r="F226"/>
          <cell r="G226"/>
          <cell r="H226">
            <v>8.6792111770925204E-3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D227"/>
          <cell r="E227">
            <v>8.8505591998820198E-3</v>
          </cell>
          <cell r="F227">
            <v>8.8391859498805833E-3</v>
          </cell>
          <cell r="G227">
            <v>8.8187263081048895E-3</v>
          </cell>
          <cell r="H227">
            <v>1.3151320561674102E-2</v>
          </cell>
          <cell r="I227">
            <v>8.6744628056238081E-3</v>
          </cell>
          <cell r="J227">
            <v>3.6629054485844688E-3</v>
          </cell>
          <cell r="K227"/>
        </row>
        <row r="228">
          <cell r="A228" t="str">
            <v>RHSA-WHCONBR2</v>
          </cell>
          <cell r="B228" t="str">
            <v>VAR_ncap</v>
          </cell>
          <cell r="C228" t="str">
            <v>-</v>
          </cell>
          <cell r="D228"/>
          <cell r="E228"/>
          <cell r="F228">
            <v>375</v>
          </cell>
          <cell r="G228">
            <v>4.7310676183725198</v>
          </cell>
          <cell r="H228">
            <v>4.3003918622550996</v>
          </cell>
          <cell r="I228"/>
          <cell r="J228"/>
          <cell r="K228"/>
        </row>
        <row r="229">
          <cell r="A229" t="str">
            <v>RHSA-WHCONBR2</v>
          </cell>
          <cell r="B229" t="str">
            <v>VAR_cap</v>
          </cell>
          <cell r="C229" t="str">
            <v>-</v>
          </cell>
          <cell r="D229"/>
          <cell r="E229"/>
          <cell r="F229">
            <v>375</v>
          </cell>
          <cell r="G229">
            <v>11.848368678838995</v>
          </cell>
          <cell r="H229">
            <v>10.947118884982956</v>
          </cell>
          <cell r="I229">
            <v>6.3311927241859962</v>
          </cell>
          <cell r="J229">
            <v>2.8355470014540174</v>
          </cell>
          <cell r="K229"/>
        </row>
        <row r="230">
          <cell r="A230" t="str">
            <v>ITOT-SWHSTG-SOL</v>
          </cell>
          <cell r="B230" t="str">
            <v>VAR_fout</v>
          </cell>
          <cell r="C230" t="str">
            <v>ITOT-SWHASOL</v>
          </cell>
          <cell r="D230">
            <v>1.85377881560165E-3</v>
          </cell>
          <cell r="E230">
            <v>1.9848204310787933E-3</v>
          </cell>
          <cell r="F230">
            <v>4.391579573518033E-3</v>
          </cell>
          <cell r="G230">
            <v>5.5723493923584477E-3</v>
          </cell>
          <cell r="H230">
            <v>8.0350857958086247E-3</v>
          </cell>
          <cell r="I230">
            <v>0.10918857674711055</v>
          </cell>
          <cell r="J230">
            <v>3.7325625615396645E-2</v>
          </cell>
        </row>
        <row r="231">
          <cell r="A231" t="str">
            <v>ITOT-SWHSTG-SOL</v>
          </cell>
          <cell r="B231" t="str">
            <v>VAR_fin</v>
          </cell>
          <cell r="C231" t="str">
            <v>ITOT-SWHASOL</v>
          </cell>
          <cell r="D231">
            <v>1.5068292140901518E-3</v>
          </cell>
          <cell r="E231">
            <v>1.8182264337344837E-3</v>
          </cell>
          <cell r="F231">
            <v>4.8464037033492755E-3</v>
          </cell>
          <cell r="G231">
            <v>6.3099543582036356E-3</v>
          </cell>
          <cell r="H231">
            <v>8.9186202077781926E-3</v>
          </cell>
          <cell r="I231">
            <v>0.12778520791844133</v>
          </cell>
          <cell r="J231">
            <v>4.0988527579840346E-2</v>
          </cell>
        </row>
        <row r="232">
          <cell r="A232" t="str">
            <v>ITOT-SWHSTG-SOL</v>
          </cell>
          <cell r="B232" t="str">
            <v>VAR_ncap</v>
          </cell>
          <cell r="C232" t="str">
            <v>-</v>
          </cell>
          <cell r="D232">
            <v>2.8614709799588099E-4</v>
          </cell>
          <cell r="E232">
            <v>4.2548390034515098E-7</v>
          </cell>
          <cell r="F232">
            <v>2.5005160557767199E-4</v>
          </cell>
          <cell r="G232">
            <v>3.9861057840108699E-4</v>
          </cell>
          <cell r="H232">
            <v>2.8774551753269699E-4</v>
          </cell>
          <cell r="I232">
            <v>8.0339650362907897E-2</v>
          </cell>
          <cell r="J232">
            <v>1.87248942358358E-6</v>
          </cell>
        </row>
        <row r="233">
          <cell r="A233" t="str">
            <v>ITOT-SWHSTG-SOL</v>
          </cell>
          <cell r="B233" t="str">
            <v>VAR_cap</v>
          </cell>
          <cell r="C233" t="str">
            <v>-</v>
          </cell>
          <cell r="D233">
            <v>2.8614709799588099E-4</v>
          </cell>
          <cell r="E233">
            <v>2.8657258189622599E-4</v>
          </cell>
          <cell r="F233">
            <v>5.3662418747389804E-4</v>
          </cell>
          <cell r="G233">
            <v>9.3523476587498502E-4</v>
          </cell>
          <cell r="H233">
            <v>1.01083351455918E-3</v>
          </cell>
          <cell r="I233">
            <v>8.0943931069666894E-2</v>
          </cell>
          <cell r="J233">
            <v>5.84287648691054E-2</v>
          </cell>
        </row>
        <row r="234">
          <cell r="A234" t="str">
            <v>RHES-SHLTHCHPNGA</v>
          </cell>
          <cell r="B234" t="str">
            <v>VAR_fout</v>
          </cell>
          <cell r="C234" t="str">
            <v>RHES-SHLTHC-NGA</v>
          </cell>
          <cell r="D234">
            <v>3.9928770963883045E-2</v>
          </cell>
          <cell r="E234">
            <v>2.0081631597735329E-2</v>
          </cell>
          <cell r="F234"/>
          <cell r="G234"/>
          <cell r="H234"/>
          <cell r="I234"/>
          <cell r="J234"/>
          <cell r="K234"/>
        </row>
        <row r="235">
          <cell r="A235" t="str">
            <v>RHES-SHLTHCHPNGA</v>
          </cell>
          <cell r="B235" t="str">
            <v>VAR_fin</v>
          </cell>
          <cell r="C235" t="str">
            <v>RHESLTHCHPC</v>
          </cell>
          <cell r="D235">
            <v>3.9928770963883045E-2</v>
          </cell>
          <cell r="E235">
            <v>2.0081631597735329E-2</v>
          </cell>
          <cell r="F235"/>
          <cell r="G235"/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RHES_LTH_CHPNGA_ON</v>
          </cell>
          <cell r="D236">
            <v>4.0332091882710149E-2</v>
          </cell>
          <cell r="E236">
            <v>2.0284476361348801E-2</v>
          </cell>
          <cell r="F236"/>
          <cell r="G236"/>
          <cell r="H236"/>
          <cell r="I236"/>
          <cell r="J236"/>
          <cell r="K236"/>
        </row>
        <row r="237">
          <cell r="A237" t="str">
            <v>RHES-SHLTHCHPNGA</v>
          </cell>
          <cell r="B237" t="str">
            <v>VAR_ncap</v>
          </cell>
          <cell r="C237" t="str">
            <v>-</v>
          </cell>
          <cell r="D237"/>
          <cell r="E237">
            <v>1.6935852571470301E-3</v>
          </cell>
          <cell r="F237">
            <v>1.40135780098112E-3</v>
          </cell>
          <cell r="G237">
            <v>9.3513592927187996E-4</v>
          </cell>
          <cell r="H237">
            <v>4.8862685188422704E-4</v>
          </cell>
          <cell r="I237">
            <v>1.5436296650026701E-4</v>
          </cell>
          <cell r="J237">
            <v>3.1865955080565103E-7</v>
          </cell>
          <cell r="K237"/>
        </row>
        <row r="238">
          <cell r="A238" t="str">
            <v>RHES-SHLTHCHPNGA</v>
          </cell>
          <cell r="B238" t="str">
            <v>VAR_cap</v>
          </cell>
          <cell r="C238" t="str">
            <v>-</v>
          </cell>
          <cell r="D238">
            <v>5.3757649990155603E-3</v>
          </cell>
          <cell r="E238">
            <v>2.7261342861108302E-3</v>
          </cell>
          <cell r="F238">
            <v>2.52363335304291E-3</v>
          </cell>
          <cell r="G238">
            <v>1.9609195185307906E-3</v>
          </cell>
          <cell r="H238">
            <v>1.0154165270780001E-3</v>
          </cell>
          <cell r="I238">
            <v>3.3435429436274016E-4</v>
          </cell>
          <cell r="J238"/>
          <cell r="K238"/>
        </row>
        <row r="239">
          <cell r="A239" t="str">
            <v>RHSA-WHSTG-ELC</v>
          </cell>
          <cell r="B239" t="str">
            <v>VAR_fout</v>
          </cell>
          <cell r="C239" t="str">
            <v>RHSA-WHAELCB</v>
          </cell>
          <cell r="D239">
            <v>1.0757778745708435</v>
          </cell>
          <cell r="E239">
            <v>1.2789441938586927</v>
          </cell>
          <cell r="F239">
            <v>0.83732512697493355</v>
          </cell>
          <cell r="G239">
            <v>0.63527302635627758</v>
          </cell>
          <cell r="H239">
            <v>0.30403285560987531</v>
          </cell>
          <cell r="I239">
            <v>0.27727928130943297</v>
          </cell>
          <cell r="J239">
            <v>0.26139965282084959</v>
          </cell>
          <cell r="K239"/>
        </row>
        <row r="240">
          <cell r="A240" t="str">
            <v>RHSA-WHSTG-ELC</v>
          </cell>
          <cell r="B240" t="str">
            <v>VAR_fout</v>
          </cell>
          <cell r="C240" t="str">
            <v>AUX_RHSA-WHSTG-ELC_OUT</v>
          </cell>
          <cell r="D240">
            <v>1.0768536524454142</v>
          </cell>
          <cell r="E240">
            <v>1.2802231380525515</v>
          </cell>
          <cell r="F240">
            <v>0.83816245210190787</v>
          </cell>
          <cell r="G240">
            <v>0.63590829938263382</v>
          </cell>
          <cell r="H240">
            <v>0.30433688846548507</v>
          </cell>
          <cell r="I240">
            <v>0.27755656059074252</v>
          </cell>
          <cell r="J240">
            <v>0.26166105247367022</v>
          </cell>
          <cell r="K240"/>
        </row>
        <row r="241">
          <cell r="A241" t="str">
            <v>RHSA-WHSTG-ELC</v>
          </cell>
          <cell r="B241" t="str">
            <v>VAR_fin</v>
          </cell>
          <cell r="C241" t="str">
            <v>RHSA-WHAELCB</v>
          </cell>
          <cell r="D241">
            <v>1.0760554524358916</v>
          </cell>
          <cell r="E241">
            <v>1.2789388295957727</v>
          </cell>
          <cell r="F241">
            <v>0.83728344028727386</v>
          </cell>
          <cell r="G241">
            <v>0.63524385817749618</v>
          </cell>
          <cell r="H241">
            <v>0.30403005698608176</v>
          </cell>
          <cell r="I241">
            <v>0.27728452700203127</v>
          </cell>
          <cell r="J241">
            <v>0.26139696925420564</v>
          </cell>
        </row>
        <row r="242">
          <cell r="A242" t="str">
            <v>RHSA-WHSTG-ELC</v>
          </cell>
          <cell r="B242" t="str">
            <v>VAR_ncap</v>
          </cell>
          <cell r="C242" t="str">
            <v>-</v>
          </cell>
          <cell r="D242">
            <v>0.11738976400545301</v>
          </cell>
          <cell r="E242">
            <v>3.0304667462482899E-4</v>
          </cell>
          <cell r="F242">
            <v>3.0326524186028098E-4</v>
          </cell>
          <cell r="G242">
            <v>5.0669045352248298E-4</v>
          </cell>
          <cell r="H242">
            <v>1.6199673555334401E-2</v>
          </cell>
          <cell r="I242">
            <v>1.90021464522197E-2</v>
          </cell>
          <cell r="J242">
            <v>1.27177485593713E-2</v>
          </cell>
          <cell r="K242"/>
        </row>
        <row r="243">
          <cell r="A243" t="str">
            <v>RHSA-WHSTG-ELC</v>
          </cell>
          <cell r="B243" t="str">
            <v>VAR_cap</v>
          </cell>
          <cell r="C243" t="str">
            <v>-</v>
          </cell>
          <cell r="D243">
            <v>0.11739067337434173</v>
          </cell>
          <cell r="E243">
            <v>0.11112207712770494</v>
          </cell>
          <cell r="F243">
            <v>8.193051732997482E-2</v>
          </cell>
          <cell r="G243">
            <v>6.0005404601844226E-2</v>
          </cell>
          <cell r="H243">
            <v>3.149475050321203E-2</v>
          </cell>
          <cell r="I243">
            <v>3.4887886983474017E-2</v>
          </cell>
          <cell r="J243">
            <v>3.2518097350266999E-2</v>
          </cell>
          <cell r="K243"/>
        </row>
        <row r="244">
          <cell r="A244" t="str">
            <v>ITOT-SWHLFOBR</v>
          </cell>
          <cell r="B244" t="str">
            <v>VAR_fout</v>
          </cell>
          <cell r="C244" t="str">
            <v>ITOT-SWH</v>
          </cell>
          <cell r="D244">
            <v>6.91791002273958</v>
          </cell>
          <cell r="E244">
            <v>6.3246703469299703</v>
          </cell>
          <cell r="F244">
            <v>6.4457194252637864</v>
          </cell>
          <cell r="G244">
            <v>5.2391430723309336</v>
          </cell>
          <cell r="H244">
            <v>4.2507372275274404</v>
          </cell>
          <cell r="I244">
            <v>2.4433890957717601</v>
          </cell>
          <cell r="J244">
            <v>0.18759520473818372</v>
          </cell>
          <cell r="K244"/>
        </row>
        <row r="245">
          <cell r="A245" t="str">
            <v>ITOT-SWHLFOBR</v>
          </cell>
          <cell r="B245" t="str">
            <v>VAR_fout</v>
          </cell>
          <cell r="C245" t="str">
            <v>CO2_I</v>
          </cell>
          <cell r="D245">
            <v>655.78752653143204</v>
          </cell>
          <cell r="E245">
            <v>598.58263948154399</v>
          </cell>
          <cell r="F245">
            <v>608.56463794788601</v>
          </cell>
          <cell r="G245">
            <v>492.66271310107697</v>
          </cell>
          <cell r="H245">
            <v>398.12074175802599</v>
          </cell>
          <cell r="I245">
            <v>227.93510761506499</v>
          </cell>
          <cell r="J245">
            <v>17.361889906915799</v>
          </cell>
        </row>
        <row r="246">
          <cell r="A246" t="str">
            <v>ITOT-SWHLFOBR</v>
          </cell>
          <cell r="B246" t="str">
            <v>VAR_fin</v>
          </cell>
          <cell r="C246" t="str">
            <v>ILFO</v>
          </cell>
          <cell r="D246">
            <v>8.8980668457453493</v>
          </cell>
          <cell r="E246">
            <v>8.1218811327210911</v>
          </cell>
          <cell r="F246">
            <v>8.257322088845136</v>
          </cell>
          <cell r="G246">
            <v>6.6847043840037541</v>
          </cell>
          <cell r="H246">
            <v>5.401909657503742</v>
          </cell>
          <cell r="I246">
            <v>3.0927423014255768</v>
          </cell>
          <cell r="J246">
            <v>0.23557516834349768</v>
          </cell>
          <cell r="K246"/>
        </row>
        <row r="247">
          <cell r="A247" t="str">
            <v>ITOT-SWHLFOBR</v>
          </cell>
          <cell r="B247" t="str">
            <v>VAR_ncap</v>
          </cell>
          <cell r="C247" t="str">
            <v>-</v>
          </cell>
          <cell r="D247"/>
          <cell r="E247">
            <v>7.8921284084253508E-3</v>
          </cell>
          <cell r="F247">
            <v>9.1047211546281797E-3</v>
          </cell>
          <cell r="G247">
            <v>2.0393629661559199E-3</v>
          </cell>
          <cell r="H247">
            <v>0.163235851799127</v>
          </cell>
          <cell r="I247">
            <v>1.8585613628677899E-2</v>
          </cell>
          <cell r="J247">
            <v>1.2124535355030699E-3</v>
          </cell>
          <cell r="K247"/>
        </row>
        <row r="248">
          <cell r="A248" t="str">
            <v>ITOT-SWHLFOBR</v>
          </cell>
          <cell r="B248" t="str">
            <v>VAR_cap</v>
          </cell>
          <cell r="C248" t="str">
            <v>-</v>
          </cell>
          <cell r="D248">
            <v>0.37633543963083199</v>
          </cell>
          <cell r="E248">
            <v>0.38411922150184863</v>
          </cell>
          <cell r="F248">
            <v>0.3927695108812071</v>
          </cell>
          <cell r="G248">
            <v>0.38994178396841428</v>
          </cell>
          <cell r="H248">
            <v>0.27258679426036481</v>
          </cell>
          <cell r="I248">
            <v>0.18004565938802874</v>
          </cell>
          <cell r="J248">
            <v>1.6924111506060699E-2</v>
          </cell>
        </row>
        <row r="249">
          <cell r="A249" t="str">
            <v>D-SCOM_LTH_CHPNGA</v>
          </cell>
          <cell r="B249" t="str">
            <v>VAR_fout</v>
          </cell>
          <cell r="C249" t="str">
            <v>LTH</v>
          </cell>
          <cell r="D249"/>
          <cell r="E249">
            <v>7.4517210011869987E-5</v>
          </cell>
          <cell r="F249"/>
          <cell r="G249"/>
          <cell r="H249"/>
          <cell r="I249"/>
          <cell r="J249"/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D250">
            <v>0.69264836837935517</v>
          </cell>
          <cell r="E250">
            <v>0.75030097401736406</v>
          </cell>
          <cell r="F250"/>
          <cell r="G250"/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D251">
            <v>0.69264836837935517</v>
          </cell>
          <cell r="E251">
            <v>0.75037549122737524</v>
          </cell>
          <cell r="F251"/>
          <cell r="G251"/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D252"/>
          <cell r="E252"/>
          <cell r="F252">
            <v>375</v>
          </cell>
          <cell r="G252">
            <v>4.73106761837278</v>
          </cell>
          <cell r="H252">
            <v>4.3003918622553901</v>
          </cell>
          <cell r="I252"/>
          <cell r="J252"/>
          <cell r="K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D253"/>
          <cell r="E253"/>
          <cell r="F253">
            <v>375</v>
          </cell>
          <cell r="G253">
            <v>11.848368678838028</v>
          </cell>
          <cell r="H253">
            <v>10.947118884980966</v>
          </cell>
          <cell r="I253">
            <v>6.3311927241839498</v>
          </cell>
          <cell r="J253">
            <v>2.8355470014540174</v>
          </cell>
          <cell r="K253"/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D254">
            <v>9.8748429320267928</v>
          </cell>
          <cell r="E254">
            <v>12.395647905897523</v>
          </cell>
          <cell r="F254">
            <v>14.827886847223827</v>
          </cell>
          <cell r="G254">
            <v>19.339376831810846</v>
          </cell>
          <cell r="H254">
            <v>22.121789163665717</v>
          </cell>
          <cell r="I254">
            <v>21.479451284661369</v>
          </cell>
          <cell r="J254">
            <v>24.63668722009108</v>
          </cell>
          <cell r="K254"/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D255">
            <v>9.8748429320267928</v>
          </cell>
          <cell r="E255">
            <v>12.395647905897523</v>
          </cell>
          <cell r="F255">
            <v>14.827886847223827</v>
          </cell>
          <cell r="G255">
            <v>19.339376831810846</v>
          </cell>
          <cell r="H255">
            <v>22.121789163665717</v>
          </cell>
          <cell r="I255">
            <v>21.479451284661369</v>
          </cell>
          <cell r="J255">
            <v>24.63668722009108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D256"/>
          <cell r="E256"/>
          <cell r="F256">
            <v>375</v>
          </cell>
          <cell r="G256">
            <v>4.7310676183725198</v>
          </cell>
          <cell r="H256">
            <v>4.3003918622550996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D257"/>
          <cell r="E257"/>
          <cell r="F257">
            <v>375</v>
          </cell>
          <cell r="G257">
            <v>11.848368678838995</v>
          </cell>
          <cell r="H257">
            <v>10.947118884982956</v>
          </cell>
          <cell r="I257">
            <v>6.3311927241859962</v>
          </cell>
          <cell r="J257">
            <v>2.8355470014540174</v>
          </cell>
          <cell r="K257"/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D258">
            <v>56.994774574912441</v>
          </cell>
          <cell r="E258">
            <v>58.701922753786299</v>
          </cell>
          <cell r="F258">
            <v>45.095920320379449</v>
          </cell>
          <cell r="G258">
            <v>37.222773055465339</v>
          </cell>
          <cell r="H258">
            <v>34.440211385320268</v>
          </cell>
          <cell r="I258">
            <v>31.276685488162961</v>
          </cell>
          <cell r="J258">
            <v>25.370186740920264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D259">
            <v>56.994774574912441</v>
          </cell>
          <cell r="E259">
            <v>58.701922753786299</v>
          </cell>
          <cell r="F259">
            <v>45.095920320379449</v>
          </cell>
          <cell r="G259">
            <v>37.222773055465339</v>
          </cell>
          <cell r="H259">
            <v>34.440211385320268</v>
          </cell>
          <cell r="I259">
            <v>31.276685488162961</v>
          </cell>
          <cell r="J259">
            <v>25.370186740920264</v>
          </cell>
          <cell r="K259"/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D260">
            <v>9.2493821887260005E-6</v>
          </cell>
          <cell r="E260">
            <v>6.0373229132833102E-5</v>
          </cell>
          <cell r="F260">
            <v>4.0414591506182301E-5</v>
          </cell>
          <cell r="G260">
            <v>3.2238227378480097E-5</v>
          </cell>
          <cell r="H260">
            <v>5.4288394043497497E-5</v>
          </cell>
          <cell r="I260">
            <v>4.5744366063432999E-5</v>
          </cell>
          <cell r="J260">
            <v>2.3879010754327399</v>
          </cell>
          <cell r="K260"/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D261">
            <v>6.6055405177360491</v>
          </cell>
          <cell r="E261">
            <v>6.2048518713301934</v>
          </cell>
          <cell r="F261">
            <v>4.7667325273495376</v>
          </cell>
          <cell r="G261">
            <v>3.9344762753585862</v>
          </cell>
          <cell r="H261">
            <v>3.6404332430512496</v>
          </cell>
          <cell r="I261">
            <v>3.3060505311732133</v>
          </cell>
          <cell r="J261">
            <v>2.6816254465295879</v>
          </cell>
          <cell r="K261"/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D262">
            <v>1.42855652761993E-2</v>
          </cell>
          <cell r="E262">
            <v>5.9725908689306087E-3</v>
          </cell>
          <cell r="F262">
            <v>4.8526862327608724E-3</v>
          </cell>
          <cell r="G262">
            <v>8.0296628153016421E-3</v>
          </cell>
          <cell r="H262">
            <v>1.2002156605108578E-2</v>
          </cell>
          <cell r="I262">
            <v>0.11824384749662097</v>
          </cell>
          <cell r="J262">
            <v>0.2756680420228938</v>
          </cell>
          <cell r="K262"/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D263">
            <v>0.21585912184730061</v>
          </cell>
          <cell r="E263">
            <v>0.23760991549475308</v>
          </cell>
          <cell r="F263">
            <v>8.0132532269757313E-3</v>
          </cell>
          <cell r="G263">
            <v>6.5758269800956243E-3</v>
          </cell>
          <cell r="H263">
            <v>9.5123528355772948E-3</v>
          </cell>
          <cell r="I263">
            <v>3.7195787743393889E-2</v>
          </cell>
          <cell r="J263">
            <v>4.6135885407942383E-2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D264">
            <v>0.23014468712349984</v>
          </cell>
          <cell r="E264">
            <v>0.24358250636368389</v>
          </cell>
          <cell r="F264">
            <v>1.2725045049717524E-2</v>
          </cell>
          <cell r="G264">
            <v>1.446874655622681E-2</v>
          </cell>
          <cell r="H264">
            <v>2.1246614524318998E-2</v>
          </cell>
          <cell r="I264">
            <v>0.15543963524001503</v>
          </cell>
          <cell r="J264">
            <v>0.32180392743083619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D265"/>
          <cell r="E265"/>
          <cell r="F265">
            <v>375</v>
          </cell>
          <cell r="G265">
            <v>4.73106761837278</v>
          </cell>
          <cell r="H265">
            <v>4.3003918622553901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D266"/>
          <cell r="E266"/>
          <cell r="F266">
            <v>375</v>
          </cell>
          <cell r="G266">
            <v>11.848368678838028</v>
          </cell>
          <cell r="H266">
            <v>10.947118884980966</v>
          </cell>
          <cell r="I266">
            <v>6.3311927241839498</v>
          </cell>
          <cell r="J266">
            <v>2.8355470014540174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D267"/>
          <cell r="E267">
            <v>4.9167194570802952E-4</v>
          </cell>
          <cell r="F267">
            <v>1.4821856051929346E-2</v>
          </cell>
          <cell r="G267">
            <v>9.4271947155576546E-3</v>
          </cell>
          <cell r="H267">
            <v>1.8452436080996018E-2</v>
          </cell>
          <cell r="I267">
            <v>6.2641686947849898E-2</v>
          </cell>
          <cell r="J267">
            <v>7.1816064962355278E-2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D268"/>
          <cell r="E268">
            <v>5.2275630555925409E-4</v>
          </cell>
          <cell r="F268">
            <v>1.3019438924460032</v>
          </cell>
          <cell r="G268">
            <v>1.4556211246953368</v>
          </cell>
          <cell r="H268">
            <v>1.5280216221091916</v>
          </cell>
          <cell r="I268">
            <v>5.0886884652633668</v>
          </cell>
          <cell r="J268">
            <v>5.5263993081160434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D269"/>
          <cell r="E269">
            <v>9.6002379843435418E-4</v>
          </cell>
          <cell r="F269">
            <v>1.3167657484979329</v>
          </cell>
          <cell r="G269">
            <v>1.4650483194108943</v>
          </cell>
          <cell r="H269">
            <v>1.5464740581901883</v>
          </cell>
          <cell r="I269">
            <v>5.1513301522112158</v>
          </cell>
          <cell r="J269">
            <v>5.5982153730783972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D270"/>
          <cell r="E270">
            <v>5.6646885553547069E-4</v>
          </cell>
          <cell r="F270">
            <v>9.8733141883989906E-2</v>
          </cell>
          <cell r="G270">
            <v>0.2020542696426138</v>
          </cell>
          <cell r="H270">
            <v>0.19166763025943204</v>
          </cell>
          <cell r="I270">
            <v>0.32155065132697314</v>
          </cell>
          <cell r="J270">
            <v>0.44163400009454096</v>
          </cell>
          <cell r="K270"/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D271"/>
          <cell r="E271">
            <v>5.6590295258288764E-4</v>
          </cell>
          <cell r="F271">
            <v>9.8634507376613223E-2</v>
          </cell>
          <cell r="G271">
            <v>0.20185241722538846</v>
          </cell>
          <cell r="H271">
            <v>0.19147615410532665</v>
          </cell>
          <cell r="I271">
            <v>0.32122942190506826</v>
          </cell>
          <cell r="J271">
            <v>0.4411928072872538</v>
          </cell>
          <cell r="K271"/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D272"/>
          <cell r="E272">
            <v>5.8699940335687562E-4</v>
          </cell>
          <cell r="F272">
            <v>9.8628301577940627E-2</v>
          </cell>
          <cell r="G272">
            <v>0.20190410006510764</v>
          </cell>
          <cell r="H272">
            <v>0.19155210951665333</v>
          </cell>
          <cell r="I272">
            <v>0.32135501995935334</v>
          </cell>
          <cell r="J272">
            <v>0.44129056324534793</v>
          </cell>
          <cell r="K272"/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D273">
            <v>5.0026376091130004E-4</v>
          </cell>
          <cell r="E273">
            <v>5.12639486724543E-4</v>
          </cell>
          <cell r="F273">
            <v>1.73285129315848E-2</v>
          </cell>
          <cell r="G273">
            <v>9.9423397680718402E-3</v>
          </cell>
          <cell r="H273">
            <v>1.0257511301131001E-2</v>
          </cell>
          <cell r="I273">
            <v>2.5695415751104799E-2</v>
          </cell>
          <cell r="J273">
            <v>3.3115034909369498E-2</v>
          </cell>
          <cell r="K273"/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D274">
            <v>5.0026376091130004E-4</v>
          </cell>
          <cell r="E274">
            <v>6.5453787761354993E-4</v>
          </cell>
          <cell r="F274">
            <v>1.772065439351787E-2</v>
          </cell>
          <cell r="G274">
            <v>2.7286656708216801E-2</v>
          </cell>
          <cell r="H274">
            <v>3.6200381562062428E-2</v>
          </cell>
          <cell r="I274">
            <v>4.4177278307030547E-2</v>
          </cell>
          <cell r="J274">
            <v>5.5177903589134776E-2</v>
          </cell>
          <cell r="K274"/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D275">
            <v>5.6100715303282938</v>
          </cell>
          <cell r="E275">
            <v>6.0767494295611515</v>
          </cell>
          <cell r="F275">
            <v>5.9482898181497221</v>
          </cell>
          <cell r="G275">
            <v>7.6471325057742057</v>
          </cell>
          <cell r="H275">
            <v>8.3305403502838278</v>
          </cell>
          <cell r="I275">
            <v>9.2533105005175731</v>
          </cell>
          <cell r="J275">
            <v>8.9440405195947381</v>
          </cell>
          <cell r="K275"/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D276">
            <v>6.0988534961654368</v>
          </cell>
          <cell r="E276">
            <v>6.604454893473072</v>
          </cell>
          <cell r="F276">
            <v>6.4622922851122029</v>
          </cell>
          <cell r="G276">
            <v>8.3024822056838818</v>
          </cell>
          <cell r="H276">
            <v>9.0385249008194926</v>
          </cell>
          <cell r="I276">
            <v>10.033137343820743</v>
          </cell>
          <cell r="J276">
            <v>9.6851067143521306</v>
          </cell>
          <cell r="K276"/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D277">
            <v>0.84970301217908395</v>
          </cell>
          <cell r="E277">
            <v>2.4656683704450402E-6</v>
          </cell>
          <cell r="F277">
            <v>2.90973852282062E-6</v>
          </cell>
          <cell r="G277">
            <v>3.0216633111235002E-6</v>
          </cell>
          <cell r="H277">
            <v>6.4644833772158899E-6</v>
          </cell>
          <cell r="I277">
            <v>8.7275361588910693E-6</v>
          </cell>
          <cell r="J277">
            <v>4.4355477584625003E-6</v>
          </cell>
          <cell r="K277"/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D278">
            <v>0.84970301217908395</v>
          </cell>
          <cell r="E278">
            <v>0.84970547784745498</v>
          </cell>
          <cell r="F278">
            <v>0.849708387585978</v>
          </cell>
          <cell r="G278">
            <v>0.84971140924928901</v>
          </cell>
          <cell r="H278">
            <v>0.84971787373266605</v>
          </cell>
          <cell r="I278">
            <v>0.84972660126882504</v>
          </cell>
          <cell r="J278">
            <v>0.84973103681658302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D279">
            <v>0.31061522130000835</v>
          </cell>
          <cell r="E279">
            <v>0.39257019678593641</v>
          </cell>
          <cell r="F279">
            <v>1.1406488507800474</v>
          </cell>
          <cell r="G279">
            <v>2.2379419643213079</v>
          </cell>
          <cell r="H279">
            <v>2.7150135784782963</v>
          </cell>
          <cell r="I279">
            <v>2.7152008943965207</v>
          </cell>
          <cell r="J279">
            <v>3.0713499218904392</v>
          </cell>
          <cell r="K279"/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D280">
            <v>0.43687091603376721</v>
          </cell>
          <cell r="E280">
            <v>0.55213811081003705</v>
          </cell>
          <cell r="F280">
            <v>1.6042881164276321</v>
          </cell>
          <cell r="G280">
            <v>3.1475976994673842</v>
          </cell>
          <cell r="H280">
            <v>3.8185844985630042</v>
          </cell>
          <cell r="I280">
            <v>3.818847952737721</v>
          </cell>
          <cell r="J280">
            <v>4.2657637804033888</v>
          </cell>
          <cell r="K280"/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D281"/>
          <cell r="E281">
            <v>1.6098035857658E-2</v>
          </cell>
          <cell r="F281">
            <v>7.1009789241017807E-2</v>
          </cell>
          <cell r="G281">
            <v>3.3983535961932702E-2</v>
          </cell>
          <cell r="H281">
            <v>5.1380359023425699E-2</v>
          </cell>
          <cell r="I281">
            <v>0.130421423029177</v>
          </cell>
          <cell r="J281">
            <v>0.104955121594748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D282">
            <v>1.7013611085743299E-2</v>
          </cell>
          <cell r="E282">
            <v>3.3023683413623328E-2</v>
          </cell>
          <cell r="F282">
            <v>0.10378587035716326</v>
          </cell>
          <cell r="G282">
            <v>0.13750134252111448</v>
          </cell>
          <cell r="H282">
            <v>0.1672733120733072</v>
          </cell>
          <cell r="I282">
            <v>0.20371676834368141</v>
          </cell>
          <cell r="J282">
            <v>0.21917142598048475</v>
          </cell>
          <cell r="K282"/>
        </row>
        <row r="283">
          <cell r="A283" t="str">
            <v>RHNS-SHPLTBR</v>
          </cell>
          <cell r="B283" t="str">
            <v>VAR_fout</v>
          </cell>
          <cell r="C283" t="str">
            <v>RHNS-SHPLT</v>
          </cell>
          <cell r="D283"/>
          <cell r="E283"/>
          <cell r="F283">
            <v>8.1627240057534193E-4</v>
          </cell>
          <cell r="G283">
            <v>6.3220562980970361E-3</v>
          </cell>
          <cell r="H283">
            <v>6.7552893445275951E-3</v>
          </cell>
          <cell r="I283">
            <v>7.2629180594172048E-3</v>
          </cell>
          <cell r="J283">
            <v>1.0358231053382757E-2</v>
          </cell>
          <cell r="K283"/>
        </row>
        <row r="284">
          <cell r="A284" t="str">
            <v>RHNS-SHPLTBR</v>
          </cell>
          <cell r="B284" t="str">
            <v>VAR_fin</v>
          </cell>
          <cell r="C284" t="str">
            <v>RPLT</v>
          </cell>
          <cell r="D284"/>
          <cell r="E284"/>
          <cell r="F284">
            <v>1.098314827641675E-3</v>
          </cell>
          <cell r="G284">
            <v>8.2863611847680749E-3</v>
          </cell>
          <cell r="H284">
            <v>8.8400882658759457E-3</v>
          </cell>
          <cell r="I284">
            <v>9.4761490453772988E-3</v>
          </cell>
          <cell r="J284">
            <v>1.3397270445875888E-2</v>
          </cell>
          <cell r="K284"/>
        </row>
        <row r="285">
          <cell r="A285" t="str">
            <v>RHNS-SHPLTBR</v>
          </cell>
          <cell r="B285" t="str">
            <v>VAR_ncap</v>
          </cell>
          <cell r="C285" t="str">
            <v>-</v>
          </cell>
          <cell r="D285"/>
          <cell r="E285">
            <v>3.7288681887828399E-6</v>
          </cell>
          <cell r="F285">
            <v>9.3222412422330596E-4</v>
          </cell>
          <cell r="G285">
            <v>7.9091501808749797E-4</v>
          </cell>
          <cell r="H285">
            <v>3.49122771010274E-5</v>
          </cell>
          <cell r="I285">
            <v>2.9447035939222E-4</v>
          </cell>
          <cell r="J285">
            <v>8.2057284841902198E-4</v>
          </cell>
          <cell r="K285"/>
        </row>
        <row r="286">
          <cell r="A286" t="str">
            <v>RHNS-SHPLTBR</v>
          </cell>
          <cell r="B286" t="str">
            <v>VAR_cap</v>
          </cell>
          <cell r="C286" t="str">
            <v>-</v>
          </cell>
          <cell r="D286"/>
          <cell r="E286">
            <v>3.7288681887828399E-6</v>
          </cell>
          <cell r="F286">
            <v>9.3359453382834193E-4</v>
          </cell>
          <cell r="G286">
            <v>1.7186624128792479E-3</v>
          </cell>
          <cell r="H286">
            <v>1.7454751588396513E-3</v>
          </cell>
          <cell r="I286">
            <v>1.0251491880977238E-3</v>
          </cell>
          <cell r="J286">
            <v>1.0461395472329269E-3</v>
          </cell>
        </row>
        <row r="287">
          <cell r="A287" t="str">
            <v>SCOM-SHLTHCHPNGA</v>
          </cell>
          <cell r="B287" t="str">
            <v>VAR_fout</v>
          </cell>
          <cell r="C287" t="str">
            <v>SCOM-SHLTHC-NGA</v>
          </cell>
          <cell r="D287">
            <v>0.68572188469556261</v>
          </cell>
          <cell r="E287">
            <v>0.74279796427719036</v>
          </cell>
          <cell r="F287"/>
          <cell r="G287"/>
          <cell r="H287"/>
          <cell r="I287"/>
          <cell r="J287"/>
          <cell r="K287"/>
        </row>
        <row r="288">
          <cell r="A288" t="str">
            <v>SCOM-SHLTHCHPNGA</v>
          </cell>
          <cell r="B288" t="str">
            <v>VAR_fin</v>
          </cell>
          <cell r="C288" t="str">
            <v>SCOMLTHCHPC</v>
          </cell>
          <cell r="D288">
            <v>0.68572188469556261</v>
          </cell>
          <cell r="E288">
            <v>0.74279796427719036</v>
          </cell>
          <cell r="F288"/>
          <cell r="G288"/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SCOM_LTH_CHPNGA_ON</v>
          </cell>
          <cell r="D289">
            <v>0.69264836837935517</v>
          </cell>
          <cell r="E289">
            <v>0.75030097401736406</v>
          </cell>
          <cell r="F289"/>
          <cell r="G289"/>
          <cell r="H289"/>
          <cell r="I289"/>
          <cell r="J289"/>
          <cell r="K289"/>
        </row>
        <row r="290">
          <cell r="A290" t="str">
            <v>SCOM-SHLTHCHPNGA</v>
          </cell>
          <cell r="B290" t="str">
            <v>VAR_ncap</v>
          </cell>
          <cell r="C290" t="str">
            <v>-</v>
          </cell>
          <cell r="D290">
            <v>1.2702321524874301E-6</v>
          </cell>
          <cell r="E290">
            <v>4.3276698905717698E-2</v>
          </cell>
          <cell r="F290">
            <v>2.63943160085599E-2</v>
          </cell>
          <cell r="G290">
            <v>2.5432427326418099E-3</v>
          </cell>
          <cell r="H290">
            <v>3.9955027645004497E-3</v>
          </cell>
          <cell r="I290">
            <v>2.1349746475030299E-3</v>
          </cell>
          <cell r="J290">
            <v>4.8604091244397403E-6</v>
          </cell>
          <cell r="K290"/>
        </row>
        <row r="291">
          <cell r="A291" t="str">
            <v>SCOM-SHLTHCHPNGA</v>
          </cell>
          <cell r="B291" t="str">
            <v>VAR_cap</v>
          </cell>
          <cell r="C291" t="str">
            <v>-</v>
          </cell>
          <cell r="D291">
            <v>7.5970539190679393E-2</v>
          </cell>
          <cell r="E291">
            <v>5.7614229916979405E-2</v>
          </cell>
          <cell r="F291">
            <v>3.7497385145030995E-2</v>
          </cell>
          <cell r="G291">
            <v>5.2091264451548103E-3</v>
          </cell>
          <cell r="H291">
            <v>5.9639764625146058E-3</v>
          </cell>
          <cell r="I291">
            <v>3.2521442504904099E-3</v>
          </cell>
          <cell r="J291">
            <v>3.6375272613499432E-6</v>
          </cell>
          <cell r="K291"/>
        </row>
        <row r="292">
          <cell r="A292" t="str">
            <v>ITOT-PROCESSCO2</v>
          </cell>
          <cell r="B292" t="str">
            <v>VAR_fout</v>
          </cell>
          <cell r="C292" t="str">
            <v>CO2</v>
          </cell>
          <cell r="D292">
            <v>2089.34680048464</v>
          </cell>
          <cell r="E292">
            <v>2111.0131698740802</v>
          </cell>
          <cell r="F292">
            <v>2102.26947106126</v>
          </cell>
          <cell r="G292">
            <v>2093.6594329631698</v>
          </cell>
          <cell r="H292">
            <v>2085.5443580044098</v>
          </cell>
          <cell r="I292">
            <v>2077.5818055649602</v>
          </cell>
          <cell r="J292">
            <v>2063.7661117810098</v>
          </cell>
          <cell r="K292"/>
        </row>
        <row r="293">
          <cell r="A293" t="str">
            <v>ITOT-PROCESSCO2</v>
          </cell>
          <cell r="B293" t="str">
            <v>VAR_fout</v>
          </cell>
          <cell r="C293" t="str">
            <v>CO2P</v>
          </cell>
          <cell r="D293">
            <v>2089.34680048464</v>
          </cell>
          <cell r="E293">
            <v>2111.0131698740802</v>
          </cell>
          <cell r="F293">
            <v>2102.26947106126</v>
          </cell>
          <cell r="G293">
            <v>2093.6594329631707</v>
          </cell>
          <cell r="H293">
            <v>2085.5443580044066</v>
          </cell>
          <cell r="I293">
            <v>2077.5818055649643</v>
          </cell>
          <cell r="J293">
            <v>2063.7661117810148</v>
          </cell>
          <cell r="K293"/>
        </row>
        <row r="294">
          <cell r="A294" t="str">
            <v>RHNM-SHWODBR</v>
          </cell>
          <cell r="B294" t="str">
            <v>VAR_fout</v>
          </cell>
          <cell r="C294" t="str">
            <v>RHNM-SHWOD</v>
          </cell>
          <cell r="D294"/>
          <cell r="E294">
            <v>8.1188320236315017E-2</v>
          </cell>
          <cell r="F294">
            <v>5.3666897917739709E-2</v>
          </cell>
          <cell r="G294">
            <v>8.5742789420056767E-2</v>
          </cell>
          <cell r="H294">
            <v>9.063004598594529E-2</v>
          </cell>
          <cell r="I294">
            <v>9.541054907304887E-2</v>
          </cell>
          <cell r="J294">
            <v>8.4745618360357169E-2</v>
          </cell>
          <cell r="K294"/>
        </row>
        <row r="295">
          <cell r="A295" t="str">
            <v>RHNM-SHWODBR</v>
          </cell>
          <cell r="B295" t="str">
            <v>VAR_fin</v>
          </cell>
          <cell r="C295" t="str">
            <v>RHNMWODBRC</v>
          </cell>
          <cell r="D295"/>
          <cell r="E295">
            <v>8.1188320236315017E-2</v>
          </cell>
          <cell r="F295">
            <v>5.3666897917739709E-2</v>
          </cell>
          <cell r="G295">
            <v>8.5742789420056767E-2</v>
          </cell>
          <cell r="H295">
            <v>9.063004598594529E-2</v>
          </cell>
          <cell r="I295">
            <v>9.541054907304887E-2</v>
          </cell>
          <cell r="J295">
            <v>8.4745618360357169E-2</v>
          </cell>
          <cell r="K295"/>
        </row>
        <row r="296">
          <cell r="A296" t="str">
            <v>RHNM-SHWODBR</v>
          </cell>
          <cell r="B296" t="str">
            <v>VAR_fin</v>
          </cell>
          <cell r="C296" t="str">
            <v>RWOD</v>
          </cell>
          <cell r="D296"/>
          <cell r="E296">
            <v>0.11276155588377094</v>
          </cell>
          <cell r="F296">
            <v>7.2410404321898048E-2</v>
          </cell>
          <cell r="G296">
            <v>0.11440846234583238</v>
          </cell>
          <cell r="H296">
            <v>0.12057227153404185</v>
          </cell>
          <cell r="I296">
            <v>0.12626544215890856</v>
          </cell>
          <cell r="J296">
            <v>0.11215157105015783</v>
          </cell>
          <cell r="K296"/>
        </row>
        <row r="297">
          <cell r="A297" t="str">
            <v>RHNM-SHWODBR</v>
          </cell>
          <cell r="B297" t="str">
            <v>VAR_ncap</v>
          </cell>
          <cell r="C297" t="str">
            <v>-</v>
          </cell>
          <cell r="D297"/>
          <cell r="E297">
            <v>7.3557983568274003E-3</v>
          </cell>
          <cell r="F297">
            <v>8.9611257851874399E-4</v>
          </cell>
          <cell r="G297"/>
          <cell r="H297">
            <v>1.64759588453556E-2</v>
          </cell>
          <cell r="I297"/>
          <cell r="J297"/>
          <cell r="K297"/>
        </row>
        <row r="298">
          <cell r="A298" t="str">
            <v>RHNM-SHWODBR</v>
          </cell>
          <cell r="B298" t="str">
            <v>VAR_cap</v>
          </cell>
          <cell r="C298" t="str">
            <v>-</v>
          </cell>
          <cell r="D298"/>
          <cell r="E298">
            <v>7.3557983568274003E-3</v>
          </cell>
          <cell r="F298">
            <v>8.2455694569129202E-3</v>
          </cell>
          <cell r="G298">
            <v>8.2387297061267007E-3</v>
          </cell>
          <cell r="H298">
            <v>2.0929191379198953E-2</v>
          </cell>
          <cell r="I298">
            <v>1.6598977772025097E-2</v>
          </cell>
          <cell r="J298">
            <v>6.967399530219286E-3</v>
          </cell>
          <cell r="K298"/>
        </row>
        <row r="299">
          <cell r="A299" t="str">
            <v>RHNS-SHDEM</v>
          </cell>
          <cell r="B299" t="str">
            <v>VAR_fout</v>
          </cell>
          <cell r="C299" t="str">
            <v>RHNS-SHD</v>
          </cell>
          <cell r="D299"/>
          <cell r="E299">
            <v>0.40468474157116097</v>
          </cell>
          <cell r="F299">
            <v>1.3774834661508395</v>
          </cell>
          <cell r="G299">
            <v>2.6284899959265395</v>
          </cell>
          <cell r="H299">
            <v>3.3756392547901024</v>
          </cell>
          <cell r="I299">
            <v>3.979952757698809</v>
          </cell>
          <cell r="J299">
            <v>4.7581342917708733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RHNS-SHLTHC-WOD</v>
          </cell>
          <cell r="D300"/>
          <cell r="E300">
            <v>4.5987436438437113E-4</v>
          </cell>
          <cell r="F300">
            <v>6.6199902876881061E-4</v>
          </cell>
          <cell r="G300">
            <v>8.3959070590166186E-5</v>
          </cell>
          <cell r="H300">
            <v>4.7622857368628265E-4</v>
          </cell>
          <cell r="I300">
            <v>6.1543771883148417E-4</v>
          </cell>
          <cell r="J300">
            <v>8.5074082536925786E-4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RHNS-SHLFO</v>
          </cell>
          <cell r="D301"/>
          <cell r="E301">
            <v>3.0704762018409046E-3</v>
          </cell>
          <cell r="F301">
            <v>1.9276121669889162E-2</v>
          </cell>
          <cell r="G301">
            <v>4.8696130567477423E-2</v>
          </cell>
          <cell r="H301">
            <v>4.8373552361740679E-2</v>
          </cell>
          <cell r="I301">
            <v>4.2836969246603941E-2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RHNS-SHNGAH</v>
          </cell>
          <cell r="D302"/>
          <cell r="E302">
            <v>4.7419725962890094E-4</v>
          </cell>
          <cell r="F302">
            <v>0.18246246301041652</v>
          </cell>
          <cell r="G302">
            <v>0.53402187774964671</v>
          </cell>
          <cell r="H302">
            <v>0.75862502595783388</v>
          </cell>
          <cell r="I302">
            <v>0.94182262355696555</v>
          </cell>
          <cell r="J302">
            <v>1.1572217899860251</v>
          </cell>
          <cell r="K302"/>
        </row>
        <row r="303">
          <cell r="A303" t="str">
            <v>RHNS-SHDEM</v>
          </cell>
          <cell r="B303" t="str">
            <v>VAR_fin</v>
          </cell>
          <cell r="C303" t="str">
            <v>RHNS-SHCON</v>
          </cell>
          <cell r="D303"/>
          <cell r="E303"/>
          <cell r="F303">
            <v>2.1804404966817584E-2</v>
          </cell>
          <cell r="G303">
            <v>2.1784211677031373E-2</v>
          </cell>
          <cell r="H303">
            <v>2.4626714860505806E-2</v>
          </cell>
          <cell r="I303">
            <v>2.656002919064674E-2</v>
          </cell>
          <cell r="J303">
            <v>2.6309800984479926E-2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RHNS-SHWOD</v>
          </cell>
          <cell r="D304"/>
          <cell r="E304">
            <v>2.5553559698656345E-2</v>
          </cell>
          <cell r="F304">
            <v>2.0984444579926015E-2</v>
          </cell>
          <cell r="G304">
            <v>7.4976132146115343E-2</v>
          </cell>
          <cell r="H304">
            <v>7.6246421892393668E-2</v>
          </cell>
          <cell r="I304">
            <v>7.8659813778144377E-2</v>
          </cell>
          <cell r="J304">
            <v>8.0361107763795847E-2</v>
          </cell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RHNS-SHNST</v>
          </cell>
          <cell r="D305"/>
          <cell r="E305">
            <v>4.9457274944198079E-4</v>
          </cell>
          <cell r="F305">
            <v>1.0173696245329635E-3</v>
          </cell>
          <cell r="G305">
            <v>1.5453981697529356E-3</v>
          </cell>
          <cell r="H305">
            <v>2.4340847170159982E-3</v>
          </cell>
          <cell r="I305">
            <v>2.4042426501150222E-3</v>
          </cell>
          <cell r="J305">
            <v>2.1176046375600823E-3</v>
          </cell>
        </row>
        <row r="306">
          <cell r="A306" t="str">
            <v>RHNS-SHDEM</v>
          </cell>
          <cell r="B306" t="str">
            <v>VAR_fin</v>
          </cell>
          <cell r="C306" t="str">
            <v>RHNS-SHPLT</v>
          </cell>
          <cell r="D306"/>
          <cell r="E306">
            <v>4.0169462571567596E-4</v>
          </cell>
          <cell r="F306">
            <v>3.9743011822011218E-3</v>
          </cell>
          <cell r="G306">
            <v>8.4005866511821532E-3</v>
          </cell>
          <cell r="H306">
            <v>9.1186910108346179E-3</v>
          </cell>
          <cell r="I306">
            <v>9.8582868041284487E-3</v>
          </cell>
          <cell r="J306">
            <v>1.2301543839307965E-2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RHNS-SHLTHD</v>
          </cell>
          <cell r="D307"/>
          <cell r="E307">
            <v>5.1516679602852028E-2</v>
          </cell>
          <cell r="F307">
            <v>4.7037563208302633E-3</v>
          </cell>
          <cell r="G307">
            <v>0.14545058692932811</v>
          </cell>
          <cell r="H307">
            <v>0.15512397764866717</v>
          </cell>
          <cell r="I307">
            <v>0.16682467124395597</v>
          </cell>
          <cell r="J307">
            <v>0.19420478583873976</v>
          </cell>
        </row>
        <row r="308">
          <cell r="A308" t="str">
            <v>RHNS-SHDEM</v>
          </cell>
          <cell r="B308" t="str">
            <v>VAR_fin</v>
          </cell>
          <cell r="C308" t="str">
            <v>RHNS-SHELCB</v>
          </cell>
          <cell r="D308"/>
          <cell r="E308">
            <v>6.6305704002775245E-2</v>
          </cell>
          <cell r="F308">
            <v>5.6695716405342871E-3</v>
          </cell>
          <cell r="G308">
            <v>1.1615335191462999E-2</v>
          </cell>
          <cell r="H308">
            <v>1.2093785327012753E-2</v>
          </cell>
          <cell r="I308">
            <v>1.2532006420509535E-2</v>
          </cell>
          <cell r="J308">
            <v>1.1247564429527011E-2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RHNS-SHELCH</v>
          </cell>
          <cell r="D309"/>
          <cell r="E309">
            <v>0.1435781323222898</v>
          </cell>
          <cell r="F309">
            <v>1.0784130432088146</v>
          </cell>
          <cell r="G309">
            <v>1.6945548550660672</v>
          </cell>
          <cell r="H309">
            <v>2.202070544171518</v>
          </cell>
          <cell r="I309">
            <v>2.6163378538178659</v>
          </cell>
          <cell r="J309">
            <v>3.2358307462176445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RHNS-SHSOL</v>
          </cell>
          <cell r="D310"/>
          <cell r="E310">
            <v>1.3354794027029602E-2</v>
          </cell>
          <cell r="F310">
            <v>3.8370898897346559E-3</v>
          </cell>
          <cell r="G310">
            <v>4.7340632088681608E-3</v>
          </cell>
          <cell r="H310">
            <v>5.2576990554866867E-3</v>
          </cell>
          <cell r="I310">
            <v>5.1156746076609456E-3</v>
          </cell>
          <cell r="J310">
            <v>4.85213542718864E-3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RHNS-SHLTHC-NGA</v>
          </cell>
          <cell r="D311"/>
          <cell r="E311">
            <v>3.1485710960436359E-3</v>
          </cell>
          <cell r="F311">
            <v>7.6774646785329954E-4</v>
          </cell>
          <cell r="G311">
            <v>1.2922357397789029E-3</v>
          </cell>
          <cell r="H311">
            <v>3.5808318307754334E-4</v>
          </cell>
          <cell r="I311">
            <v>1.6671245264001457E-4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RHNS-SHNGA</v>
          </cell>
          <cell r="D312"/>
          <cell r="E312">
            <v>9.8807312941432829E-2</v>
          </cell>
          <cell r="F312">
            <v>3.8255198166547884E-2</v>
          </cell>
          <cell r="G312">
            <v>8.5219300285433841E-2</v>
          </cell>
          <cell r="H312">
            <v>8.4794599467669207E-2</v>
          </cell>
          <cell r="I312">
            <v>7.9291593719307954E-2</v>
          </cell>
          <cell r="J312">
            <v>3.5346653209351965E-2</v>
          </cell>
        </row>
        <row r="313">
          <cell r="A313" t="str">
            <v>RES-ELCSPEC</v>
          </cell>
          <cell r="B313" t="str">
            <v>VAR_fout</v>
          </cell>
          <cell r="C313" t="str">
            <v>RHSA-ELS</v>
          </cell>
          <cell r="D313">
            <v>44.576954446539794</v>
          </cell>
          <cell r="E313">
            <v>44.86121202262008</v>
          </cell>
          <cell r="F313">
            <v>49.523393789107622</v>
          </cell>
          <cell r="G313">
            <v>40.72647805814286</v>
          </cell>
          <cell r="H313">
            <v>36.725810230383374</v>
          </cell>
          <cell r="I313">
            <v>32.104016885474778</v>
          </cell>
          <cell r="J313">
            <v>22.279252868976563</v>
          </cell>
          <cell r="K313"/>
        </row>
        <row r="314">
          <cell r="A314" t="str">
            <v>RES-ELCSPEC</v>
          </cell>
          <cell r="B314" t="str">
            <v>VAR_fin</v>
          </cell>
          <cell r="C314" t="str">
            <v>RHSA_ELC</v>
          </cell>
          <cell r="D314">
            <v>44.576954446539794</v>
          </cell>
          <cell r="E314">
            <v>44.86121202262008</v>
          </cell>
          <cell r="F314">
            <v>49.523393789107622</v>
          </cell>
          <cell r="G314">
            <v>40.72647805814286</v>
          </cell>
          <cell r="H314">
            <v>36.725810230383374</v>
          </cell>
          <cell r="I314">
            <v>32.104016885474778</v>
          </cell>
          <cell r="J314">
            <v>22.279252868976563</v>
          </cell>
        </row>
        <row r="315">
          <cell r="A315" t="str">
            <v>RES-ELCSPEC</v>
          </cell>
          <cell r="B315" t="str">
            <v>VAR_ncap</v>
          </cell>
          <cell r="C315" t="str">
            <v>-</v>
          </cell>
          <cell r="D315">
            <v>0.19329384175746001</v>
          </cell>
          <cell r="E315">
            <v>2.4031849342008601E-4</v>
          </cell>
          <cell r="F315">
            <v>0.47608922201013798</v>
          </cell>
          <cell r="G315">
            <v>4.5383945627330897E-5</v>
          </cell>
          <cell r="H315">
            <v>6.4187249986481304E-5</v>
          </cell>
          <cell r="I315">
            <v>3.7328265416388302E-5</v>
          </cell>
          <cell r="J315">
            <v>1.8865158849686801</v>
          </cell>
        </row>
        <row r="316">
          <cell r="A316" t="str">
            <v>RES-ELCSPEC</v>
          </cell>
          <cell r="B316" t="str">
            <v>VAR_cap</v>
          </cell>
          <cell r="C316" t="str">
            <v>-</v>
          </cell>
          <cell r="D316">
            <v>4.7118305258879296</v>
          </cell>
          <cell r="E316">
            <v>4.7426681143768006</v>
          </cell>
          <cell r="F316">
            <v>5.2346109377135805</v>
          </cell>
          <cell r="G316">
            <v>4.304979586959333</v>
          </cell>
          <cell r="H316">
            <v>3.8824346664251017</v>
          </cell>
          <cell r="I316">
            <v>3.3941970378199082</v>
          </cell>
          <cell r="J316">
            <v>2.3549350777358136</v>
          </cell>
          <cell r="K316"/>
        </row>
        <row r="317">
          <cell r="A317" t="str">
            <v>SCOM-SHCONBR1</v>
          </cell>
          <cell r="B317" t="str">
            <v>VAR_fout</v>
          </cell>
          <cell r="C317" t="str">
            <v>SCOM-SHCON</v>
          </cell>
          <cell r="D317"/>
          <cell r="E317">
            <v>2.6179382048769853</v>
          </cell>
          <cell r="F317">
            <v>0.75803682245817983</v>
          </cell>
          <cell r="G317">
            <v>1.3834224056181899</v>
          </cell>
          <cell r="H317">
            <v>1.9831505711146085</v>
          </cell>
          <cell r="I317">
            <v>2.61765930063022</v>
          </cell>
          <cell r="J317">
            <v>2.6178764680302669</v>
          </cell>
          <cell r="K317"/>
        </row>
        <row r="318">
          <cell r="A318" t="str">
            <v>SCOM-SHCONBR1</v>
          </cell>
          <cell r="B318" t="str">
            <v>VAR_fin</v>
          </cell>
          <cell r="C318" t="str">
            <v>CON</v>
          </cell>
          <cell r="D318"/>
          <cell r="E318">
            <v>2.6179382048769853</v>
          </cell>
          <cell r="F318">
            <v>0.75803682245817983</v>
          </cell>
          <cell r="G318">
            <v>1.3834224056181899</v>
          </cell>
          <cell r="H318">
            <v>1.9831505711146085</v>
          </cell>
          <cell r="I318">
            <v>2.61765930063022</v>
          </cell>
          <cell r="J318">
            <v>2.6178764680302669</v>
          </cell>
          <cell r="K318"/>
        </row>
        <row r="319">
          <cell r="A319" t="str">
            <v>SCOM-SHCONBR1</v>
          </cell>
          <cell r="B319" t="str">
            <v>VAR_ncap</v>
          </cell>
          <cell r="C319" t="str">
            <v>-</v>
          </cell>
          <cell r="D319"/>
          <cell r="E319">
            <v>0.202666012530827</v>
          </cell>
          <cell r="F319">
            <v>8.1460107778160799E-6</v>
          </cell>
          <cell r="G319">
            <v>1.4610646642594599E-5</v>
          </cell>
          <cell r="H319">
            <v>9.7076325242794106E-6</v>
          </cell>
          <cell r="I319">
            <v>1.7917150413409799E-2</v>
          </cell>
          <cell r="J319">
            <v>8.6273308310276603E-2</v>
          </cell>
        </row>
        <row r="320">
          <cell r="A320" t="str">
            <v>SCOM-SHCONBR1</v>
          </cell>
          <cell r="B320" t="str">
            <v>VAR_cap</v>
          </cell>
          <cell r="C320" t="str">
            <v>-</v>
          </cell>
          <cell r="E320">
            <v>0.202666012530827</v>
          </cell>
          <cell r="F320">
            <v>0.20266905624602755</v>
          </cell>
          <cell r="G320">
            <v>0.20267597200645995</v>
          </cell>
          <cell r="H320">
            <v>0.20268038344743985</v>
          </cell>
          <cell r="I320">
            <v>0.22060022152960843</v>
          </cell>
          <cell r="J320">
            <v>0.22137202176550216</v>
          </cell>
        </row>
        <row r="321">
          <cell r="A321" t="str">
            <v>RHSA-WHSTG-SOL</v>
          </cell>
          <cell r="B321" t="str">
            <v>VAR_fout</v>
          </cell>
          <cell r="C321" t="str">
            <v>RHSA-WHASOL</v>
          </cell>
          <cell r="D321">
            <v>0.44905828762932315</v>
          </cell>
          <cell r="E321">
            <v>0.45673279269025191</v>
          </cell>
          <cell r="F321">
            <v>0.37327267861651342</v>
          </cell>
          <cell r="G321">
            <v>0.43028594427782146</v>
          </cell>
          <cell r="H321">
            <v>0.36986600497865657</v>
          </cell>
          <cell r="I321">
            <v>0.41538048158922863</v>
          </cell>
          <cell r="J321">
            <v>0.40590325132432042</v>
          </cell>
          <cell r="K321"/>
        </row>
        <row r="322">
          <cell r="A322" t="str">
            <v>RHSA-WHSTG-SOL</v>
          </cell>
          <cell r="B322" t="str">
            <v>VAR_fout</v>
          </cell>
          <cell r="C322" t="str">
            <v>AUX_RHSA-WHSTG-SOL_OUT</v>
          </cell>
          <cell r="D322">
            <v>0.44950734591695229</v>
          </cell>
          <cell r="E322">
            <v>0.45718952548294195</v>
          </cell>
          <cell r="F322">
            <v>0.37364595129512979</v>
          </cell>
          <cell r="G322">
            <v>0.43071623022209926</v>
          </cell>
          <cell r="H322">
            <v>0.37023587098363508</v>
          </cell>
          <cell r="I322">
            <v>0.41579586207081759</v>
          </cell>
          <cell r="J322">
            <v>0.40630915457564482</v>
          </cell>
          <cell r="K322"/>
        </row>
        <row r="323">
          <cell r="A323" t="str">
            <v>RHSA-WHSTG-SOL</v>
          </cell>
          <cell r="B323" t="str">
            <v>VAR_fin</v>
          </cell>
          <cell r="C323" t="str">
            <v>RHSA-WHASOL</v>
          </cell>
          <cell r="D323">
            <v>0.44872887396654254</v>
          </cell>
          <cell r="E323">
            <v>0.45701255262814899</v>
          </cell>
          <cell r="F323">
            <v>0.37353098150345715</v>
          </cell>
          <cell r="G323">
            <v>0.43033595011746339</v>
          </cell>
          <cell r="H323">
            <v>0.36988373507606964</v>
          </cell>
          <cell r="I323">
            <v>0.41536157345730779</v>
          </cell>
          <cell r="J323">
            <v>0.40588447640544884</v>
          </cell>
        </row>
        <row r="324">
          <cell r="A324" t="str">
            <v>RHSA-WHSTG-SOL</v>
          </cell>
          <cell r="B324" t="str">
            <v>VAR_ncap</v>
          </cell>
          <cell r="C324" t="str">
            <v>-</v>
          </cell>
          <cell r="D324">
            <v>7.8147057793906294E-2</v>
          </cell>
          <cell r="E324">
            <v>1.04550837320319E-4</v>
          </cell>
          <cell r="F324">
            <v>1.4442256774281699E-5</v>
          </cell>
          <cell r="G324">
            <v>3.0543906099534198E-5</v>
          </cell>
          <cell r="H324">
            <v>3.7540840928141299E-2</v>
          </cell>
          <cell r="I324">
            <v>2.63130859723609E-2</v>
          </cell>
          <cell r="J324">
            <v>2.6427786134069101E-2</v>
          </cell>
        </row>
        <row r="325">
          <cell r="A325" t="str">
            <v>RHSA-WHSTG-SOL</v>
          </cell>
          <cell r="B325" t="str">
            <v>VAR_cap</v>
          </cell>
          <cell r="C325" t="str">
            <v>-</v>
          </cell>
          <cell r="D325">
            <v>7.8148120346869895E-2</v>
          </cell>
          <cell r="E325">
            <v>7.8252671184190201E-2</v>
          </cell>
          <cell r="F325">
            <v>7.82671134409645E-2</v>
          </cell>
          <cell r="G325">
            <v>7.8297657347063995E-2</v>
          </cell>
          <cell r="H325">
            <v>5.7905897988671073E-2</v>
          </cell>
          <cell r="I325">
            <v>6.3877346010507693E-2</v>
          </cell>
          <cell r="J325">
            <v>6.14036496603724E-2</v>
          </cell>
        </row>
        <row r="326">
          <cell r="A326" t="str">
            <v>SCOM-SHCONBR2</v>
          </cell>
          <cell r="B326" t="str">
            <v>VAR_fout</v>
          </cell>
          <cell r="C326" t="str">
            <v>SCOM-SHCON</v>
          </cell>
          <cell r="D326"/>
          <cell r="E326">
            <v>4.0772364341206604</v>
          </cell>
          <cell r="F326">
            <v>0.94794613297323627</v>
          </cell>
          <cell r="G326">
            <v>2.2185656920952073</v>
          </cell>
          <cell r="H326">
            <v>3.2751860924992906</v>
          </cell>
          <cell r="I326">
            <v>4.0770561500353386</v>
          </cell>
          <cell r="J326">
            <v>4.0773432794073852</v>
          </cell>
          <cell r="K326"/>
        </row>
        <row r="327">
          <cell r="A327" t="str">
            <v>SCOM-SHCONBR2</v>
          </cell>
          <cell r="B327" t="str">
            <v>VAR_fin</v>
          </cell>
          <cell r="C327" t="str">
            <v>CON</v>
          </cell>
          <cell r="D327"/>
          <cell r="E327">
            <v>4.0772364341206604</v>
          </cell>
          <cell r="F327">
            <v>0.94794613297323627</v>
          </cell>
          <cell r="G327">
            <v>2.2185656920952073</v>
          </cell>
          <cell r="H327">
            <v>3.2751860924992906</v>
          </cell>
          <cell r="I327">
            <v>4.0770561500353386</v>
          </cell>
          <cell r="J327">
            <v>4.0773432794073852</v>
          </cell>
          <cell r="K327"/>
        </row>
        <row r="328">
          <cell r="A328" t="str">
            <v>SCOM-SHCONBR2</v>
          </cell>
          <cell r="B328" t="str">
            <v>VAR_ncap</v>
          </cell>
          <cell r="C328" t="str">
            <v>-</v>
          </cell>
          <cell r="D328"/>
          <cell r="E328">
            <v>0.31541671970462198</v>
          </cell>
          <cell r="F328">
            <v>8.5454900541924606E-6</v>
          </cell>
          <cell r="G328">
            <v>2.0247467911461101E-5</v>
          </cell>
          <cell r="H328">
            <v>1.03196653340116E-5</v>
          </cell>
          <cell r="I328">
            <v>1.8539240320225001E-2</v>
          </cell>
          <cell r="J328">
            <v>0.130232692947861</v>
          </cell>
        </row>
        <row r="329">
          <cell r="A329" t="str">
            <v>SCOM-SHCONBR2</v>
          </cell>
          <cell r="B329" t="str">
            <v>VAR_cap</v>
          </cell>
          <cell r="C329" t="str">
            <v>-</v>
          </cell>
          <cell r="D329"/>
          <cell r="E329">
            <v>0.31541671970462198</v>
          </cell>
          <cell r="F329">
            <v>0.31542011877057458</v>
          </cell>
          <cell r="G329">
            <v>0.31543285223933665</v>
          </cell>
          <cell r="H329">
            <v>0.31543823606944188</v>
          </cell>
          <cell r="I329">
            <v>0.33398058172780121</v>
          </cell>
          <cell r="J329">
            <v>0.33114207746326979</v>
          </cell>
          <cell r="K329"/>
        </row>
        <row r="330">
          <cell r="A330" t="str">
            <v>SCOM-SHCONBR3</v>
          </cell>
          <cell r="B330" t="str">
            <v>VAR_fout</v>
          </cell>
          <cell r="C330" t="str">
            <v>SCOM-SHCON</v>
          </cell>
          <cell r="D330"/>
          <cell r="E330">
            <v>2.3310096814958956</v>
          </cell>
          <cell r="F330">
            <v>0.57112993032906034</v>
          </cell>
          <cell r="G330">
            <v>1.0396988621990344</v>
          </cell>
          <cell r="H330">
            <v>1.6761353165635997</v>
          </cell>
          <cell r="I330">
            <v>2.4046515550524963</v>
          </cell>
          <cell r="J330">
            <v>3.2761780559345182</v>
          </cell>
          <cell r="K330"/>
        </row>
        <row r="331">
          <cell r="A331" t="str">
            <v>SCOM-SHCONBR3</v>
          </cell>
          <cell r="B331" t="str">
            <v>VAR_fin</v>
          </cell>
          <cell r="C331" t="str">
            <v>CON</v>
          </cell>
          <cell r="D331"/>
          <cell r="E331">
            <v>2.3310096814958956</v>
          </cell>
          <cell r="F331">
            <v>0.57112993032906034</v>
          </cell>
          <cell r="G331">
            <v>1.0396988621990344</v>
          </cell>
          <cell r="H331">
            <v>1.6761353165635997</v>
          </cell>
          <cell r="I331">
            <v>2.4046515550524963</v>
          </cell>
          <cell r="J331">
            <v>3.2761780559345182</v>
          </cell>
        </row>
        <row r="332">
          <cell r="A332" t="str">
            <v>SCOM-SHCONBR3</v>
          </cell>
          <cell r="B332" t="str">
            <v>VAR_ncap</v>
          </cell>
          <cell r="C332" t="str">
            <v>-</v>
          </cell>
          <cell r="D332"/>
          <cell r="E332">
            <v>0.18036162124863001</v>
          </cell>
          <cell r="F332">
            <v>6.2939738756010897E-6</v>
          </cell>
          <cell r="G332">
            <v>1.8242870938722101E-5</v>
          </cell>
          <cell r="H332">
            <v>6.1267087263804997E-6</v>
          </cell>
          <cell r="I332">
            <v>6.0531570340570202E-3</v>
          </cell>
          <cell r="J332">
            <v>0.143173251282531</v>
          </cell>
          <cell r="K332"/>
        </row>
        <row r="333">
          <cell r="A333" t="str">
            <v>SCOM-SHCONBR3</v>
          </cell>
          <cell r="B333" t="str">
            <v>VAR_cap</v>
          </cell>
          <cell r="C333" t="str">
            <v>-</v>
          </cell>
          <cell r="D333"/>
          <cell r="E333">
            <v>0.18036162124863001</v>
          </cell>
          <cell r="F333">
            <v>0.18036334165438661</v>
          </cell>
          <cell r="G333">
            <v>0.18037549285654381</v>
          </cell>
          <cell r="H333">
            <v>0.18037832306489571</v>
          </cell>
          <cell r="I333">
            <v>0.18643544027428621</v>
          </cell>
          <cell r="J333">
            <v>0.25351676790346961</v>
          </cell>
          <cell r="K333"/>
        </row>
        <row r="334">
          <cell r="A334" t="str">
            <v>SCOM-SHCONBR4</v>
          </cell>
          <cell r="B334" t="str">
            <v>VAR_fout</v>
          </cell>
          <cell r="C334" t="str">
            <v>SCOM-SHCON</v>
          </cell>
          <cell r="D334"/>
          <cell r="E334">
            <v>3.5813862341337974E-2</v>
          </cell>
          <cell r="F334">
            <v>1.7186035097943177E-2</v>
          </cell>
          <cell r="G334">
            <v>1.8194804341797089E-2</v>
          </cell>
          <cell r="H334">
            <v>1.9720247977388073E-2</v>
          </cell>
          <cell r="I334">
            <v>3.4359429784250668E-2</v>
          </cell>
          <cell r="J334">
            <v>3.2865805346304051</v>
          </cell>
          <cell r="K334"/>
        </row>
        <row r="335">
          <cell r="A335" t="str">
            <v>SCOM-SHCONBR4</v>
          </cell>
          <cell r="B335" t="str">
            <v>VAR_fin</v>
          </cell>
          <cell r="C335" t="str">
            <v>CON</v>
          </cell>
          <cell r="D335"/>
          <cell r="E335">
            <v>3.5813862341337974E-2</v>
          </cell>
          <cell r="F335">
            <v>1.7186035097943177E-2</v>
          </cell>
          <cell r="G335">
            <v>1.8194804341797089E-2</v>
          </cell>
          <cell r="H335">
            <v>1.9720247977388073E-2</v>
          </cell>
          <cell r="I335">
            <v>3.4359429784250668E-2</v>
          </cell>
          <cell r="J335">
            <v>3.2865805346304051</v>
          </cell>
          <cell r="K335"/>
        </row>
        <row r="336">
          <cell r="A336" t="str">
            <v>SCOM-SHCONBR4</v>
          </cell>
          <cell r="B336" t="str">
            <v>VAR_ncap</v>
          </cell>
          <cell r="C336" t="str">
            <v>-</v>
          </cell>
          <cell r="D336"/>
          <cell r="E336">
            <v>2.9713482136123999E-3</v>
          </cell>
          <cell r="F336">
            <v>5.4365050677787496E-6</v>
          </cell>
          <cell r="G336">
            <v>1.385723965344E-5</v>
          </cell>
          <cell r="H336">
            <v>4.5618527056896603E-6</v>
          </cell>
          <cell r="I336">
            <v>4.3185483311026102E-5</v>
          </cell>
          <cell r="J336">
            <v>0.25239767398235002</v>
          </cell>
          <cell r="K336"/>
        </row>
        <row r="337">
          <cell r="A337" t="str">
            <v>SCOM-SHCONBR4</v>
          </cell>
          <cell r="B337" t="str">
            <v>VAR_cap</v>
          </cell>
          <cell r="C337" t="str">
            <v>-</v>
          </cell>
          <cell r="D337"/>
          <cell r="E337">
            <v>2.9713482136123999E-3</v>
          </cell>
          <cell r="F337">
            <v>2.9737660382763349E-3</v>
          </cell>
          <cell r="G337">
            <v>2.9828677769021682E-3</v>
          </cell>
          <cell r="H337">
            <v>2.9840137956372356E-3</v>
          </cell>
          <cell r="I337">
            <v>3.0300626699982817E-3</v>
          </cell>
          <cell r="J337">
            <v>0.25417622991156241</v>
          </cell>
          <cell r="K337"/>
        </row>
        <row r="338">
          <cell r="A338" t="str">
            <v>RHEM-SHNGABR</v>
          </cell>
          <cell r="B338" t="str">
            <v>VAR_fout</v>
          </cell>
          <cell r="C338" t="str">
            <v>CO2_R</v>
          </cell>
          <cell r="D338">
            <v>1127.97272019907</v>
          </cell>
          <cell r="E338">
            <v>1120.96952212052</v>
          </cell>
          <cell r="F338">
            <v>1260.6116011224699</v>
          </cell>
          <cell r="G338">
            <v>909.76400001043805</v>
          </cell>
          <cell r="H338">
            <v>566.40829486924599</v>
          </cell>
          <cell r="I338">
            <v>230.79134630894501</v>
          </cell>
          <cell r="J338">
            <v>85.864841403745402</v>
          </cell>
          <cell r="K338"/>
        </row>
        <row r="339">
          <cell r="A339" t="str">
            <v>RHEM-SHNGABR</v>
          </cell>
          <cell r="B339" t="str">
            <v>VAR_fout</v>
          </cell>
          <cell r="C339" t="str">
            <v>RHEM-SHNGA</v>
          </cell>
          <cell r="D339">
            <v>18.999540499806997</v>
          </cell>
          <cell r="E339">
            <v>18.881578830044191</v>
          </cell>
          <cell r="F339">
            <v>21.081515944282845</v>
          </cell>
          <cell r="G339">
            <v>15.214205751142652</v>
          </cell>
          <cell r="H339">
            <v>9.4721843656109783</v>
          </cell>
          <cell r="I339">
            <v>3.8595800980113828</v>
          </cell>
          <cell r="J339">
            <v>1.4359387312432954</v>
          </cell>
        </row>
        <row r="340">
          <cell r="A340" t="str">
            <v>RHEM-SHNGABR</v>
          </cell>
          <cell r="B340" t="str">
            <v>VAR_fin</v>
          </cell>
          <cell r="C340" t="str">
            <v>RNGA</v>
          </cell>
          <cell r="D340">
            <v>19.999516315586309</v>
          </cell>
          <cell r="E340">
            <v>19.875346136888588</v>
          </cell>
          <cell r="F340">
            <v>22.351269523448014</v>
          </cell>
          <cell r="G340">
            <v>16.130567376071603</v>
          </cell>
          <cell r="H340">
            <v>10.042700263639116</v>
          </cell>
          <cell r="I340">
            <v>4.0920451473217314</v>
          </cell>
          <cell r="J340">
            <v>1.5224262660238541</v>
          </cell>
          <cell r="K340"/>
        </row>
        <row r="341">
          <cell r="A341" t="str">
            <v>RHEM-SHNGABR</v>
          </cell>
          <cell r="B341" t="str">
            <v>VAR_ncap</v>
          </cell>
          <cell r="C341" t="str">
            <v>-</v>
          </cell>
          <cell r="D341"/>
          <cell r="E341">
            <v>4.60967217305965E-4</v>
          </cell>
          <cell r="F341">
            <v>0.142030657945828</v>
          </cell>
          <cell r="G341">
            <v>1.2879825674397001E-5</v>
          </cell>
          <cell r="H341">
            <v>0.194130618678369</v>
          </cell>
          <cell r="I341">
            <v>5.8896462396693001E-2</v>
          </cell>
          <cell r="J341">
            <v>8.8694199501568306E-6</v>
          </cell>
          <cell r="K341"/>
        </row>
        <row r="342">
          <cell r="A342" t="str">
            <v>RHEM-SHNGABR</v>
          </cell>
          <cell r="B342" t="str">
            <v>VAR_cap</v>
          </cell>
          <cell r="C342" t="str">
            <v>-</v>
          </cell>
          <cell r="D342">
            <v>1.34683498965227</v>
          </cell>
          <cell r="E342">
            <v>1.3472878198689167</v>
          </cell>
          <cell r="F342">
            <v>1.4893169983016741</v>
          </cell>
          <cell r="G342">
            <v>1.488656461458965</v>
          </cell>
          <cell r="H342">
            <v>0.68542386327495253</v>
          </cell>
          <cell r="I342">
            <v>0.27817163638149828</v>
          </cell>
          <cell r="J342">
            <v>0.12478409850713032</v>
          </cell>
        </row>
        <row r="343">
          <cell r="A343" t="str">
            <v>RHNS-SHCONBR1</v>
          </cell>
          <cell r="B343" t="str">
            <v>VAR_ncap</v>
          </cell>
          <cell r="C343" t="str">
            <v>-</v>
          </cell>
          <cell r="D343"/>
          <cell r="F343">
            <v>375</v>
          </cell>
          <cell r="G343">
            <v>4.7310676183725198</v>
          </cell>
          <cell r="H343">
            <v>4.3003918622550996</v>
          </cell>
          <cell r="I343"/>
          <cell r="J343"/>
        </row>
        <row r="344">
          <cell r="A344" t="str">
            <v>RHNS-SHCONBR1</v>
          </cell>
          <cell r="B344" t="str">
            <v>VAR_cap</v>
          </cell>
          <cell r="C344" t="str">
            <v>-</v>
          </cell>
          <cell r="D344"/>
          <cell r="F344">
            <v>375</v>
          </cell>
          <cell r="G344">
            <v>11.848368678838995</v>
          </cell>
          <cell r="H344">
            <v>10.947118884982956</v>
          </cell>
          <cell r="I344">
            <v>6.3311927241859962</v>
          </cell>
          <cell r="J344">
            <v>2.8355470014540174</v>
          </cell>
        </row>
        <row r="345">
          <cell r="A345" t="str">
            <v>SCOM-SHCONBR5</v>
          </cell>
          <cell r="B345" t="str">
            <v>VAR_fout</v>
          </cell>
          <cell r="C345" t="str">
            <v>SCOM-SHCON</v>
          </cell>
          <cell r="D345"/>
          <cell r="E345">
            <v>2.6982497403005363E-2</v>
          </cell>
          <cell r="F345">
            <v>1.3022517269351408E-2</v>
          </cell>
          <cell r="G345">
            <v>1.3866083699543577E-2</v>
          </cell>
          <cell r="H345">
            <v>1.4976973248824545E-2</v>
          </cell>
          <cell r="I345">
            <v>2.5309858025686E-2</v>
          </cell>
          <cell r="J345">
            <v>0.58581212722343667</v>
          </cell>
          <cell r="K345"/>
        </row>
        <row r="346">
          <cell r="A346" t="str">
            <v>SCOM-SHCONBR5</v>
          </cell>
          <cell r="B346" t="str">
            <v>VAR_fin</v>
          </cell>
          <cell r="C346" t="str">
            <v>CON</v>
          </cell>
          <cell r="D346"/>
          <cell r="E346">
            <v>2.6982497403005363E-2</v>
          </cell>
          <cell r="F346">
            <v>1.3022517269351408E-2</v>
          </cell>
          <cell r="G346">
            <v>1.3866083699543577E-2</v>
          </cell>
          <cell r="H346">
            <v>1.4976973248824545E-2</v>
          </cell>
          <cell r="I346">
            <v>2.5309858025686E-2</v>
          </cell>
          <cell r="J346">
            <v>0.58581212722343667</v>
          </cell>
          <cell r="K346"/>
        </row>
        <row r="347">
          <cell r="A347" t="str">
            <v>SCOM-SHCONBR5</v>
          </cell>
          <cell r="B347" t="str">
            <v>VAR_ncap</v>
          </cell>
          <cell r="C347" t="str">
            <v>-</v>
          </cell>
          <cell r="D347"/>
          <cell r="E347">
            <v>2.2796818360879198E-3</v>
          </cell>
          <cell r="F347">
            <v>5.3309817953933397E-6</v>
          </cell>
          <cell r="G347">
            <v>1.3324196696740399E-5</v>
          </cell>
          <cell r="H347">
            <v>4.3227793461048997E-6</v>
          </cell>
          <cell r="I347">
            <v>6.8933359177075303E-6</v>
          </cell>
          <cell r="J347">
            <v>4.4117503214027999E-2</v>
          </cell>
          <cell r="K347"/>
        </row>
        <row r="348">
          <cell r="A348" t="str">
            <v>SCOM-SHCONBR5</v>
          </cell>
          <cell r="B348" t="str">
            <v>VAR_cap</v>
          </cell>
          <cell r="C348" t="str">
            <v>-</v>
          </cell>
          <cell r="D348"/>
          <cell r="E348">
            <v>2.2796818360879198E-3</v>
          </cell>
          <cell r="F348">
            <v>2.2823060069849816E-3</v>
          </cell>
          <cell r="G348">
            <v>2.2912409591563446E-3</v>
          </cell>
          <cell r="H348">
            <v>2.2921848022823439E-3</v>
          </cell>
          <cell r="I348">
            <v>2.301668395734082E-3</v>
          </cell>
          <cell r="J348">
            <v>4.5459370735549856E-2</v>
          </cell>
          <cell r="K348"/>
        </row>
        <row r="349">
          <cell r="A349" t="str">
            <v>RHNS-SHCONBR2</v>
          </cell>
          <cell r="B349" t="str">
            <v>VAR_ncap</v>
          </cell>
          <cell r="C349" t="str">
            <v>-</v>
          </cell>
          <cell r="D349"/>
          <cell r="F349">
            <v>375</v>
          </cell>
          <cell r="G349">
            <v>4.73106761837278</v>
          </cell>
          <cell r="H349">
            <v>4.3003918622553901</v>
          </cell>
          <cell r="I349"/>
          <cell r="J349"/>
          <cell r="K349"/>
        </row>
        <row r="350">
          <cell r="A350" t="str">
            <v>RHNS-SHCONBR2</v>
          </cell>
          <cell r="B350" t="str">
            <v>VAR_cap</v>
          </cell>
          <cell r="C350" t="str">
            <v>-</v>
          </cell>
          <cell r="D350"/>
          <cell r="F350">
            <v>375</v>
          </cell>
          <cell r="G350">
            <v>11.848368678838028</v>
          </cell>
          <cell r="H350">
            <v>10.947118884980966</v>
          </cell>
          <cell r="I350">
            <v>6.3311927241839498</v>
          </cell>
          <cell r="J350">
            <v>2.8355470014540174</v>
          </cell>
          <cell r="K350"/>
        </row>
        <row r="351">
          <cell r="A351" t="str">
            <v>RHES-SHSTG-ELCHP</v>
          </cell>
          <cell r="B351" t="str">
            <v>VAR_fout</v>
          </cell>
          <cell r="C351" t="str">
            <v>RHES-SHAELCH</v>
          </cell>
          <cell r="D351">
            <v>1.0740071981839934</v>
          </cell>
          <cell r="E351">
            <v>1.2396664994643132</v>
          </cell>
          <cell r="F351">
            <v>2.9560109702515494</v>
          </cell>
          <cell r="G351">
            <v>3.7478696944793182</v>
          </cell>
          <cell r="H351">
            <v>3.4883280756247852</v>
          </cell>
          <cell r="I351">
            <v>3.5303736211767678</v>
          </cell>
          <cell r="J351">
            <v>3.6261749046966427</v>
          </cell>
          <cell r="K351"/>
        </row>
        <row r="352">
          <cell r="A352" t="str">
            <v>RHES-SHSTG-ELCHP</v>
          </cell>
          <cell r="B352" t="str">
            <v>VAR_fout</v>
          </cell>
          <cell r="C352" t="str">
            <v>AUX_RHES-SHSTG-ELCHP_OUT</v>
          </cell>
          <cell r="D352">
            <v>1.0750812053821774</v>
          </cell>
          <cell r="E352">
            <v>1.240906165963777</v>
          </cell>
          <cell r="F352">
            <v>2.9589669812218</v>
          </cell>
          <cell r="G352">
            <v>3.7516175641737948</v>
          </cell>
          <cell r="H352">
            <v>3.4918164037004109</v>
          </cell>
          <cell r="I352">
            <v>3.5339039947979445</v>
          </cell>
          <cell r="J352">
            <v>3.6298010796013411</v>
          </cell>
          <cell r="K352"/>
        </row>
        <row r="353">
          <cell r="A353" t="str">
            <v>RHES-SHSTG-ELCHP</v>
          </cell>
          <cell r="B353" t="str">
            <v>VAR_fin</v>
          </cell>
          <cell r="C353" t="str">
            <v>RHES-SHAELCH</v>
          </cell>
          <cell r="D353">
            <v>1.0743072332162378</v>
          </cell>
          <cell r="E353">
            <v>1.239815880542537</v>
          </cell>
          <cell r="F353">
            <v>2.9560510876050463</v>
          </cell>
          <cell r="G353">
            <v>3.7479629562017847</v>
          </cell>
          <cell r="H353">
            <v>3.4884351032824861</v>
          </cell>
          <cell r="I353">
            <v>3.5304769667322988</v>
          </cell>
          <cell r="J353">
            <v>3.6262892507151201</v>
          </cell>
          <cell r="K353"/>
        </row>
        <row r="354">
          <cell r="A354" t="str">
            <v>RHES-SHSTG-ELCHP</v>
          </cell>
          <cell r="B354" t="str">
            <v>VAR_ncap</v>
          </cell>
          <cell r="C354" t="str">
            <v>-</v>
          </cell>
          <cell r="D354">
            <v>0.147686296336562</v>
          </cell>
          <cell r="E354">
            <v>1.1292186294184099E-3</v>
          </cell>
          <cell r="F354">
            <v>0.136505231302537</v>
          </cell>
          <cell r="G354">
            <v>5.5980133696504099E-2</v>
          </cell>
          <cell r="H354">
            <v>0.13465744107080199</v>
          </cell>
          <cell r="I354">
            <v>0.19273615041300801</v>
          </cell>
          <cell r="J354">
            <v>0.17754848706005499</v>
          </cell>
          <cell r="K354"/>
        </row>
        <row r="355">
          <cell r="A355" t="str">
            <v>RHES-SHSTG-ELCHP</v>
          </cell>
          <cell r="B355" t="str">
            <v>VAR_cap</v>
          </cell>
          <cell r="C355" t="str">
            <v>-</v>
          </cell>
          <cell r="D355">
            <v>0.147686296336562</v>
          </cell>
          <cell r="E355">
            <v>0.14650066386113492</v>
          </cell>
          <cell r="F355">
            <v>0.28266669275050726</v>
          </cell>
          <cell r="G355">
            <v>0.33829384739392432</v>
          </cell>
          <cell r="H355">
            <v>0.36286524322301861</v>
          </cell>
          <cell r="I355">
            <v>0.38869981373579587</v>
          </cell>
          <cell r="J355">
            <v>0.37365108186954094</v>
          </cell>
          <cell r="K355"/>
        </row>
        <row r="356">
          <cell r="A356" t="str">
            <v>SCOM-SHCONBR6</v>
          </cell>
          <cell r="B356" t="str">
            <v>VAR_fout</v>
          </cell>
          <cell r="C356" t="str">
            <v>SCOM-SHCON</v>
          </cell>
          <cell r="D356"/>
          <cell r="E356">
            <v>1.6313007320769193E-2</v>
          </cell>
          <cell r="F356">
            <v>8.1684608800727775E-3</v>
          </cell>
          <cell r="G356">
            <v>8.6661290366681597E-3</v>
          </cell>
          <cell r="H356">
            <v>9.1826921665011038E-3</v>
          </cell>
          <cell r="I356">
            <v>1.5021758719123389E-2</v>
          </cell>
          <cell r="J356">
            <v>1.014662149331759E-2</v>
          </cell>
          <cell r="K356"/>
        </row>
        <row r="357">
          <cell r="A357" t="str">
            <v>SCOM-SHCONBR6</v>
          </cell>
          <cell r="B357" t="str">
            <v>VAR_fin</v>
          </cell>
          <cell r="C357" t="str">
            <v>CON</v>
          </cell>
          <cell r="D357"/>
          <cell r="E357">
            <v>1.6313007320769193E-2</v>
          </cell>
          <cell r="F357">
            <v>8.1684608800727775E-3</v>
          </cell>
          <cell r="G357">
            <v>8.6661290366681597E-3</v>
          </cell>
          <cell r="H357">
            <v>9.1826921665011038E-3</v>
          </cell>
          <cell r="I357">
            <v>1.5021758719123389E-2</v>
          </cell>
          <cell r="J357">
            <v>1.014662149331759E-2</v>
          </cell>
          <cell r="K357"/>
        </row>
        <row r="358">
          <cell r="A358" t="str">
            <v>SCOM-SHCONBR6</v>
          </cell>
          <cell r="B358" t="str">
            <v>VAR_ncap</v>
          </cell>
          <cell r="C358" t="str">
            <v>-</v>
          </cell>
          <cell r="E358">
            <v>1.4298021534303899E-3</v>
          </cell>
          <cell r="F358">
            <v>4.9297704257264599E-6</v>
          </cell>
          <cell r="G358">
            <v>1.31193852402964E-5</v>
          </cell>
          <cell r="H358">
            <v>3.6388867608080701E-6</v>
          </cell>
          <cell r="I358">
            <v>4.0320712650553597E-6</v>
          </cell>
          <cell r="J358">
            <v>7.0790886948318398E-5</v>
          </cell>
          <cell r="K358"/>
        </row>
        <row r="359">
          <cell r="A359" t="str">
            <v>SCOM-SHCONBR6</v>
          </cell>
          <cell r="B359" t="str">
            <v>VAR_cap</v>
          </cell>
          <cell r="C359" t="str">
            <v>-</v>
          </cell>
          <cell r="D359"/>
          <cell r="E359">
            <v>1.4298021534303899E-3</v>
          </cell>
          <cell r="F359">
            <v>1.4326222955666208E-3</v>
          </cell>
          <cell r="G359">
            <v>1.4422408178356688E-3</v>
          </cell>
          <cell r="H359">
            <v>1.4427614380631056E-3</v>
          </cell>
          <cell r="I359">
            <v>1.4486430856024482E-3</v>
          </cell>
          <cell r="J359">
            <v>9.1797921168284777E-4</v>
          </cell>
          <cell r="K359"/>
        </row>
        <row r="360">
          <cell r="A360" t="str">
            <v>RHNM-SHDEM</v>
          </cell>
          <cell r="B360" t="str">
            <v>VAR_fout</v>
          </cell>
          <cell r="C360" t="str">
            <v>RHNM-SHD</v>
          </cell>
          <cell r="D360"/>
          <cell r="E360">
            <v>1.2071502183152301</v>
          </cell>
          <cell r="F360">
            <v>1.4940672474796899</v>
          </cell>
          <cell r="G360">
            <v>2.7265280033424797</v>
          </cell>
          <cell r="H360">
            <v>3.5735945294822868</v>
          </cell>
          <cell r="I360">
            <v>4.2100864621501017</v>
          </cell>
          <cell r="J360">
            <v>4.9967985117250997</v>
          </cell>
          <cell r="K360"/>
        </row>
        <row r="361">
          <cell r="A361" t="str">
            <v>RHNM-SHDEM</v>
          </cell>
          <cell r="B361" t="str">
            <v>VAR_fin</v>
          </cell>
          <cell r="C361" t="str">
            <v>RHNM-SHLFO</v>
          </cell>
          <cell r="D361"/>
          <cell r="E361">
            <v>3.3414628808709969E-2</v>
          </cell>
          <cell r="F361">
            <v>5.9364813418117633E-2</v>
          </cell>
          <cell r="G361">
            <v>9.2696925855734622E-2</v>
          </cell>
          <cell r="H361">
            <v>9.220617779233356E-2</v>
          </cell>
          <cell r="I361">
            <v>6.3852628780661877E-2</v>
          </cell>
          <cell r="J361">
            <v>5.3640800723962052E-4</v>
          </cell>
          <cell r="K361"/>
        </row>
        <row r="362">
          <cell r="A362" t="str">
            <v>RHNM-SHDEM</v>
          </cell>
          <cell r="B362" t="str">
            <v>VAR_fin</v>
          </cell>
          <cell r="C362" t="str">
            <v>RHNM-SHLTHD</v>
          </cell>
          <cell r="D362"/>
          <cell r="E362">
            <v>0.2304657906224763</v>
          </cell>
          <cell r="F362">
            <v>5.026878588593528E-2</v>
          </cell>
          <cell r="G362">
            <v>0.22880547172923224</v>
          </cell>
          <cell r="H362">
            <v>0.26534778751839305</v>
          </cell>
          <cell r="I362">
            <v>0.30884040383178041</v>
          </cell>
          <cell r="J362">
            <v>0.37886810662453618</v>
          </cell>
          <cell r="K362"/>
        </row>
        <row r="363">
          <cell r="A363" t="str">
            <v>RHNM-SHDEM</v>
          </cell>
          <cell r="B363" t="str">
            <v>VAR_fin</v>
          </cell>
          <cell r="C363" t="str">
            <v>RHNM-SHCON</v>
          </cell>
          <cell r="D363"/>
          <cell r="F363">
            <v>2.3543076813399379E-2</v>
          </cell>
          <cell r="G363">
            <v>2.3607720378268787E-2</v>
          </cell>
          <cell r="H363">
            <v>2.6775095471073831E-2</v>
          </cell>
          <cell r="I363">
            <v>2.7574022251344678E-2</v>
          </cell>
          <cell r="J363">
            <v>2.6967833521528543E-2</v>
          </cell>
          <cell r="K363"/>
        </row>
        <row r="364">
          <cell r="A364" t="str">
            <v>RHNM-SHDEM</v>
          </cell>
          <cell r="B364" t="str">
            <v>VAR_fin</v>
          </cell>
          <cell r="C364" t="str">
            <v>RHNM-SHELCB</v>
          </cell>
          <cell r="D364"/>
          <cell r="E364">
            <v>0.11985396678813839</v>
          </cell>
          <cell r="F364">
            <v>4.6972050935477176E-3</v>
          </cell>
          <cell r="G364">
            <v>5.5417606227858704E-3</v>
          </cell>
          <cell r="H364">
            <v>6.1655505941002721E-3</v>
          </cell>
          <cell r="I364">
            <v>5.7764982678068311E-3</v>
          </cell>
          <cell r="J364">
            <v>6.9006781836974561E-3</v>
          </cell>
        </row>
        <row r="365">
          <cell r="A365" t="str">
            <v>RHNM-SHDEM</v>
          </cell>
          <cell r="B365" t="str">
            <v>VAR_fin</v>
          </cell>
          <cell r="C365" t="str">
            <v>RHNM-SHWOD</v>
          </cell>
          <cell r="D365"/>
          <cell r="E365">
            <v>6.9841489919059641E-2</v>
          </cell>
          <cell r="F365">
            <v>5.1625544836898768E-2</v>
          </cell>
          <cell r="G365">
            <v>8.3463208904477199E-2</v>
          </cell>
          <cell r="H365">
            <v>8.7869780912806048E-2</v>
          </cell>
          <cell r="I365">
            <v>9.3210143032357973E-2</v>
          </cell>
          <cell r="J365">
            <v>8.2731751560227482E-2</v>
          </cell>
        </row>
        <row r="366">
          <cell r="A366" t="str">
            <v>RHNM-SHDEM</v>
          </cell>
          <cell r="B366" t="str">
            <v>VAR_fin</v>
          </cell>
          <cell r="C366" t="str">
            <v>RHNM-SHELCH</v>
          </cell>
          <cell r="D366"/>
          <cell r="E366">
            <v>3.5510341365491686E-2</v>
          </cell>
          <cell r="F366">
            <v>0.92514934630880052</v>
          </cell>
          <cell r="G366">
            <v>1.428719920957449</v>
          </cell>
          <cell r="H366">
            <v>1.9360347329962166</v>
          </cell>
          <cell r="I366">
            <v>2.3579364254361765</v>
          </cell>
          <cell r="J366">
            <v>2.9942090871133207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RHNM-SHNST</v>
          </cell>
          <cell r="D367"/>
          <cell r="E367">
            <v>8.0215783934090984E-3</v>
          </cell>
          <cell r="F367">
            <v>1.6002383561310087E-3</v>
          </cell>
          <cell r="G367">
            <v>2.2124738730015339E-3</v>
          </cell>
          <cell r="H367">
            <v>1.6832423143797483E-3</v>
          </cell>
          <cell r="I367">
            <v>2.343070165584465E-3</v>
          </cell>
          <cell r="J367">
            <v>1.0580973492087531E-4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RHNM-SHPLT</v>
          </cell>
          <cell r="D368"/>
          <cell r="E368">
            <v>6.4708754969214952E-2</v>
          </cell>
          <cell r="F368">
            <v>8.7899480072555145E-3</v>
          </cell>
          <cell r="G368">
            <v>1.6986951272929124E-2</v>
          </cell>
          <cell r="H368">
            <v>1.9716036876625181E-2</v>
          </cell>
          <cell r="I368">
            <v>2.2358635423137711E-2</v>
          </cell>
          <cell r="J368">
            <v>2.7487520046097873E-2</v>
          </cell>
        </row>
        <row r="369">
          <cell r="A369" t="str">
            <v>RHNM-SHDEM</v>
          </cell>
          <cell r="B369" t="str">
            <v>VAR_fin</v>
          </cell>
          <cell r="C369" t="str">
            <v>RHNM-SHLTHC-NGA</v>
          </cell>
          <cell r="E369">
            <v>3.3857180231233547E-2</v>
          </cell>
          <cell r="F369">
            <v>5.4116242849267893E-4</v>
          </cell>
          <cell r="G369">
            <v>5.8057325257178188E-4</v>
          </cell>
          <cell r="H369">
            <v>3.2538815872005004E-4</v>
          </cell>
          <cell r="I369">
            <v>2.4248701215603014E-4</v>
          </cell>
          <cell r="J369">
            <v>3.2779946853094956E-3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RHNM-SHSOL</v>
          </cell>
          <cell r="E370">
            <v>3.9982570370686019E-2</v>
          </cell>
          <cell r="F370">
            <v>4.542866615380994E-3</v>
          </cell>
          <cell r="G370">
            <v>5.0893594797164149E-3</v>
          </cell>
          <cell r="H370">
            <v>5.657061365227584E-3</v>
          </cell>
          <cell r="I370">
            <v>5.0792895073811881E-3</v>
          </cell>
          <cell r="J370">
            <v>6.3196432834355058E-3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RHNM-SHLTHC-WOD</v>
          </cell>
          <cell r="E371">
            <v>6.3252028723277606E-3</v>
          </cell>
          <cell r="F371">
            <v>7.3657936524618216E-4</v>
          </cell>
          <cell r="G371">
            <v>3.901930270104871E-4</v>
          </cell>
          <cell r="H371">
            <v>1.5486112153335204E-3</v>
          </cell>
          <cell r="I371">
            <v>5.895651568826101E-4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RHNM-SHNGAH</v>
          </cell>
          <cell r="E372">
            <v>7.5930148482105993E-3</v>
          </cell>
          <cell r="F372">
            <v>0.26125990626572737</v>
          </cell>
          <cell r="G372">
            <v>0.6971580384077507</v>
          </cell>
          <cell r="H372">
            <v>0.99135293870382502</v>
          </cell>
          <cell r="I372">
            <v>1.2386740121591773</v>
          </cell>
          <cell r="J372">
            <v>1.4716284862846518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RHNM-SHNGA</v>
          </cell>
          <cell r="D373"/>
          <cell r="E373">
            <v>0.56035727647009803</v>
          </cell>
          <cell r="F373">
            <v>0.10634813327629823</v>
          </cell>
          <cell r="G373">
            <v>0.14523168089482347</v>
          </cell>
          <cell r="H373">
            <v>0.14293328427907057</v>
          </cell>
          <cell r="I373">
            <v>8.6762070245557252E-2</v>
          </cell>
          <cell r="J373">
            <v>4.3673428390307799E-5</v>
          </cell>
        </row>
        <row r="374">
          <cell r="A374" t="str">
            <v>SCOM-STG-ELCSPEC</v>
          </cell>
          <cell r="B374" t="str">
            <v>VAR_fout</v>
          </cell>
          <cell r="C374" t="str">
            <v>SCOM-ELS</v>
          </cell>
          <cell r="E374">
            <v>0.22625251185451281</v>
          </cell>
          <cell r="F374">
            <v>0.23044032285380323</v>
          </cell>
          <cell r="G374">
            <v>0.23924387095164446</v>
          </cell>
          <cell r="H374">
            <v>0.24853276932837914</v>
          </cell>
          <cell r="I374">
            <v>0.54663616655457103</v>
          </cell>
          <cell r="J374">
            <v>0.68567489642790735</v>
          </cell>
          <cell r="K374"/>
        </row>
        <row r="375">
          <cell r="A375" t="str">
            <v>SCOM-STG-ELCSPEC</v>
          </cell>
          <cell r="B375" t="str">
            <v>VAR_fin</v>
          </cell>
          <cell r="C375" t="str">
            <v>SCOM-ELS</v>
          </cell>
          <cell r="E375">
            <v>0.22628306087602978</v>
          </cell>
          <cell r="F375">
            <v>0.23047087187531981</v>
          </cell>
          <cell r="G375">
            <v>0.23927451089286803</v>
          </cell>
          <cell r="H375">
            <v>0.24856331834989565</v>
          </cell>
          <cell r="I375">
            <v>0.54666780661257031</v>
          </cell>
          <cell r="J375">
            <v>0.68569071645690749</v>
          </cell>
          <cell r="K375"/>
        </row>
        <row r="376">
          <cell r="A376" t="str">
            <v>SCOM-STG-ELCSPEC</v>
          </cell>
          <cell r="B376" t="str">
            <v>VAR_ncap</v>
          </cell>
          <cell r="C376" t="str">
            <v>-</v>
          </cell>
          <cell r="E376">
            <v>8.5905238700216199E-3</v>
          </cell>
          <cell r="F376">
            <v>1.34934624371106E-4</v>
          </cell>
          <cell r="G376">
            <v>5.9639737282127002E-5</v>
          </cell>
          <cell r="H376">
            <v>5.9011249591610197E-4</v>
          </cell>
          <cell r="I376">
            <v>1.52243942194431E-2</v>
          </cell>
          <cell r="J376">
            <v>1.0798745774788499E-2</v>
          </cell>
          <cell r="K376"/>
        </row>
        <row r="377">
          <cell r="A377" t="str">
            <v>SCOM-STG-ELCSPEC</v>
          </cell>
          <cell r="B377" t="str">
            <v>VAR_cap</v>
          </cell>
          <cell r="C377" t="str">
            <v>-</v>
          </cell>
          <cell r="D377"/>
          <cell r="E377">
            <v>8.5905238700216199E-3</v>
          </cell>
          <cell r="F377">
            <v>8.7171040219034233E-3</v>
          </cell>
          <cell r="G377">
            <v>8.7614818531841238E-3</v>
          </cell>
          <cell r="H377">
            <v>9.3249022542115905E-3</v>
          </cell>
          <cell r="I377">
            <v>2.0399628289615959E-2</v>
          </cell>
          <cell r="J377">
            <v>2.6487977215988629E-2</v>
          </cell>
          <cell r="K377"/>
        </row>
        <row r="378">
          <cell r="A378" t="str">
            <v>RHNS-SHCONBR3</v>
          </cell>
          <cell r="B378" t="str">
            <v>VAR_ncap</v>
          </cell>
          <cell r="C378" t="str">
            <v>-</v>
          </cell>
          <cell r="F378">
            <v>375</v>
          </cell>
          <cell r="G378">
            <v>4.7310676183725198</v>
          </cell>
          <cell r="H378">
            <v>4.3003918622550996</v>
          </cell>
          <cell r="I378"/>
          <cell r="J378"/>
          <cell r="K378"/>
        </row>
        <row r="379">
          <cell r="A379" t="str">
            <v>RHNS-SHCONBR3</v>
          </cell>
          <cell r="B379" t="str">
            <v>VAR_cap</v>
          </cell>
          <cell r="C379" t="str">
            <v>-</v>
          </cell>
          <cell r="D379"/>
          <cell r="F379">
            <v>375</v>
          </cell>
          <cell r="G379">
            <v>11.848368678838995</v>
          </cell>
          <cell r="H379">
            <v>10.947118884982956</v>
          </cell>
          <cell r="I379">
            <v>6.3311927241859962</v>
          </cell>
          <cell r="J379">
            <v>2.8355470014540174</v>
          </cell>
          <cell r="K379"/>
        </row>
        <row r="380">
          <cell r="A380" t="str">
            <v>SCOM-SHCONBR7</v>
          </cell>
          <cell r="B380" t="str">
            <v>VAR_fout</v>
          </cell>
          <cell r="C380" t="str">
            <v>SCOM-SHCON</v>
          </cell>
          <cell r="E380">
            <v>9.6805820668917474E-3</v>
          </cell>
          <cell r="F380">
            <v>5.1192807526250061E-3</v>
          </cell>
          <cell r="G380">
            <v>5.3764232518322295E-3</v>
          </cell>
          <cell r="H380">
            <v>5.5967431241257387E-3</v>
          </cell>
          <cell r="I380">
            <v>8.696096095308286E-3</v>
          </cell>
          <cell r="J380">
            <v>5.4949644068946627E-3</v>
          </cell>
          <cell r="K380"/>
        </row>
        <row r="381">
          <cell r="A381" t="str">
            <v>SCOM-SHCONBR7</v>
          </cell>
          <cell r="B381" t="str">
            <v>VAR_fin</v>
          </cell>
          <cell r="C381" t="str">
            <v>CON</v>
          </cell>
          <cell r="E381">
            <v>9.6805820668917474E-3</v>
          </cell>
          <cell r="F381">
            <v>5.1192807526250061E-3</v>
          </cell>
          <cell r="G381">
            <v>5.3764232518322295E-3</v>
          </cell>
          <cell r="H381">
            <v>5.5967431241257387E-3</v>
          </cell>
          <cell r="I381">
            <v>8.696096095308286E-3</v>
          </cell>
          <cell r="J381">
            <v>5.4949644068946627E-3</v>
          </cell>
          <cell r="K381"/>
        </row>
        <row r="382">
          <cell r="A382" t="str">
            <v>SCOM-SHCONBR7</v>
          </cell>
          <cell r="B382" t="str">
            <v>VAR_ncap</v>
          </cell>
          <cell r="C382" t="str">
            <v>-</v>
          </cell>
          <cell r="D382"/>
          <cell r="E382">
            <v>8.86330791810184E-4</v>
          </cell>
          <cell r="F382">
            <v>4.2589276710133104E-6</v>
          </cell>
          <cell r="G382">
            <v>8.7407712894278293E-6</v>
          </cell>
          <cell r="H382">
            <v>2.4897070925110899E-6</v>
          </cell>
          <cell r="I382"/>
          <cell r="J382">
            <v>5.4896996690481501E-6</v>
          </cell>
          <cell r="K382"/>
        </row>
        <row r="383">
          <cell r="A383" t="str">
            <v>SCOM-SHCONBR7</v>
          </cell>
          <cell r="B383" t="str">
            <v>VAR_cap</v>
          </cell>
          <cell r="C383" t="str">
            <v>-</v>
          </cell>
          <cell r="E383">
            <v>8.86330791810184E-4</v>
          </cell>
          <cell r="F383">
            <v>8.8902556642092025E-4</v>
          </cell>
          <cell r="G383">
            <v>8.9524303347788094E-4</v>
          </cell>
          <cell r="H383">
            <v>8.9516312078073799E-4</v>
          </cell>
          <cell r="I383">
            <v>8.9607330537789717E-4</v>
          </cell>
          <cell r="J383">
            <v>5.2903909573543502E-4</v>
          </cell>
          <cell r="K383"/>
        </row>
        <row r="384">
          <cell r="A384" t="str">
            <v>RHNS-SHCONBR4</v>
          </cell>
          <cell r="B384" t="str">
            <v>VAR_ncap</v>
          </cell>
          <cell r="C384" t="str">
            <v>-</v>
          </cell>
          <cell r="F384">
            <v>375</v>
          </cell>
          <cell r="G384">
            <v>4.73106761837278</v>
          </cell>
          <cell r="H384">
            <v>4.3003918622553901</v>
          </cell>
          <cell r="I384"/>
          <cell r="J384"/>
          <cell r="K384"/>
        </row>
        <row r="385">
          <cell r="A385" t="str">
            <v>RHNS-SHCONBR4</v>
          </cell>
          <cell r="B385" t="str">
            <v>VAR_cap</v>
          </cell>
          <cell r="C385" t="str">
            <v>-</v>
          </cell>
          <cell r="D385"/>
          <cell r="F385">
            <v>375</v>
          </cell>
          <cell r="G385">
            <v>11.848368678838028</v>
          </cell>
          <cell r="H385">
            <v>10.947118884980966</v>
          </cell>
          <cell r="I385">
            <v>6.3311927241839498</v>
          </cell>
          <cell r="J385">
            <v>2.8355470014540174</v>
          </cell>
          <cell r="K385"/>
        </row>
        <row r="386">
          <cell r="A386" t="str">
            <v>SCOM-SHCONBR8</v>
          </cell>
          <cell r="B386" t="str">
            <v>VAR_fout</v>
          </cell>
          <cell r="C386" t="str">
            <v>SCOM-SHCON</v>
          </cell>
          <cell r="D386"/>
          <cell r="E386">
            <v>3.4235949234980639E-3</v>
          </cell>
          <cell r="F386">
            <v>2.1041424507701472E-3</v>
          </cell>
          <cell r="G386">
            <v>2.1302830240448596E-3</v>
          </cell>
          <cell r="H386">
            <v>2.150083401396673E-3</v>
          </cell>
          <cell r="I386">
            <v>2.8953361915438174E-3</v>
          </cell>
          <cell r="J386">
            <v>1.8672803117799168E-3</v>
          </cell>
        </row>
        <row r="387">
          <cell r="A387" t="str">
            <v>SCOM-SHCONBR8</v>
          </cell>
          <cell r="B387" t="str">
            <v>VAR_fin</v>
          </cell>
          <cell r="C387" t="str">
            <v>CON</v>
          </cell>
          <cell r="E387">
            <v>3.4235949234980639E-3</v>
          </cell>
          <cell r="F387">
            <v>2.1041424507701472E-3</v>
          </cell>
          <cell r="G387">
            <v>2.1302830240448596E-3</v>
          </cell>
          <cell r="H387">
            <v>2.150083401396673E-3</v>
          </cell>
          <cell r="I387">
            <v>2.8953361915438174E-3</v>
          </cell>
          <cell r="J387">
            <v>1.8672803117799168E-3</v>
          </cell>
        </row>
        <row r="388">
          <cell r="A388" t="str">
            <v>SCOM-SHCONBR8</v>
          </cell>
          <cell r="B388" t="str">
            <v>VAR_ncap</v>
          </cell>
          <cell r="C388" t="str">
            <v>-</v>
          </cell>
          <cell r="E388">
            <v>3.3677123631483801E-4</v>
          </cell>
          <cell r="F388">
            <v>2.7271545077337302E-6</v>
          </cell>
          <cell r="G388">
            <v>2.5557033082443301E-6</v>
          </cell>
          <cell r="H388">
            <v>1.02138221754703E-6</v>
          </cell>
          <cell r="I388"/>
          <cell r="J388">
            <v>1.1383899427918999E-6</v>
          </cell>
        </row>
        <row r="389">
          <cell r="A389" t="str">
            <v>SCOM-SHCONBR8</v>
          </cell>
          <cell r="B389" t="str">
            <v>VAR_cap</v>
          </cell>
          <cell r="C389" t="str">
            <v>-</v>
          </cell>
          <cell r="D389"/>
          <cell r="E389">
            <v>3.3677123631483801E-4</v>
          </cell>
          <cell r="F389">
            <v>3.3869378609182037E-4</v>
          </cell>
          <cell r="G389">
            <v>3.4016321540412443E-4</v>
          </cell>
          <cell r="H389">
            <v>3.3989341959968515E-4</v>
          </cell>
          <cell r="I389">
            <v>3.396092451211386E-4</v>
          </cell>
          <cell r="J389">
            <v>1.9944067096055009E-4</v>
          </cell>
          <cell r="K389"/>
        </row>
        <row r="390">
          <cell r="A390" t="str">
            <v>ITOT-ELCSPEC</v>
          </cell>
          <cell r="B390" t="str">
            <v>VAR_fout</v>
          </cell>
          <cell r="C390" t="str">
            <v>ITOT-ELS</v>
          </cell>
          <cell r="D390">
            <v>48.063397652170998</v>
          </cell>
          <cell r="E390">
            <v>48.833361569867286</v>
          </cell>
          <cell r="F390">
            <v>51.606348679527969</v>
          </cell>
          <cell r="G390">
            <v>52.871860088914175</v>
          </cell>
          <cell r="H390">
            <v>54.118790460389583</v>
          </cell>
          <cell r="I390">
            <v>50.876777768367283</v>
          </cell>
          <cell r="J390">
            <v>52.053393206381124</v>
          </cell>
          <cell r="K390"/>
        </row>
        <row r="391">
          <cell r="A391" t="str">
            <v>ITOT-ELCSPEC</v>
          </cell>
          <cell r="B391" t="str">
            <v>VAR_fin</v>
          </cell>
          <cell r="C391" t="str">
            <v>ITOT_ELC</v>
          </cell>
          <cell r="D391">
            <v>48.063397652170998</v>
          </cell>
          <cell r="E391">
            <v>48.833361569867286</v>
          </cell>
          <cell r="F391">
            <v>51.606348679527969</v>
          </cell>
          <cell r="G391">
            <v>52.871860088914175</v>
          </cell>
          <cell r="H391">
            <v>54.118790460389583</v>
          </cell>
          <cell r="I391">
            <v>50.876777768367283</v>
          </cell>
          <cell r="J391">
            <v>52.053393206381124</v>
          </cell>
          <cell r="K391"/>
        </row>
        <row r="392">
          <cell r="A392" t="str">
            <v>ITOT-ELCSPEC</v>
          </cell>
          <cell r="B392" t="str">
            <v>VAR_ncap</v>
          </cell>
          <cell r="C392" t="str">
            <v>-</v>
          </cell>
          <cell r="D392">
            <v>8.35608606090332E-2</v>
          </cell>
          <cell r="E392">
            <v>4.1901760742362397E-2</v>
          </cell>
          <cell r="F392">
            <v>0.15081071636267401</v>
          </cell>
          <cell r="G392">
            <v>6.8854571344486207E-2</v>
          </cell>
          <cell r="H392">
            <v>6.7898106662188401E-2</v>
          </cell>
          <cell r="I392">
            <v>7.3527231378380298E-5</v>
          </cell>
          <cell r="J392">
            <v>2.43044706312123</v>
          </cell>
          <cell r="K392"/>
        </row>
        <row r="393">
          <cell r="A393" t="str">
            <v>ITOT-ELCSPEC</v>
          </cell>
          <cell r="B393" t="str">
            <v>VAR_cap</v>
          </cell>
          <cell r="C393" t="str">
            <v>-</v>
          </cell>
          <cell r="D393">
            <v>2.6138880926417434</v>
          </cell>
          <cell r="E393">
            <v>2.655780716953176</v>
          </cell>
          <cell r="F393">
            <v>2.8065699957024881</v>
          </cell>
          <cell r="G393">
            <v>2.8753554708479991</v>
          </cell>
          <cell r="H393">
            <v>2.9431769336207396</v>
          </cell>
          <cell r="I393">
            <v>2.7669833896475251</v>
          </cell>
          <cell r="J393">
            <v>2.8308316467000192</v>
          </cell>
          <cell r="K393"/>
        </row>
        <row r="394">
          <cell r="A394" t="str">
            <v>RHNM-SHLTHDH</v>
          </cell>
          <cell r="B394" t="str">
            <v>VAR_fout</v>
          </cell>
          <cell r="C394" t="str">
            <v>RHNM-SHLTHD</v>
          </cell>
          <cell r="E394">
            <v>0.34687936915827844</v>
          </cell>
          <cell r="F394">
            <v>5.321807342758398E-2</v>
          </cell>
          <cell r="G394">
            <v>0.2340016431780729</v>
          </cell>
          <cell r="H394">
            <v>0.27124791734521675</v>
          </cell>
          <cell r="I394">
            <v>0.31462200954781405</v>
          </cell>
          <cell r="J394">
            <v>0.38704888143869137</v>
          </cell>
          <cell r="K394"/>
        </row>
        <row r="395">
          <cell r="A395" t="str">
            <v>RHNM-SHLTHDH</v>
          </cell>
          <cell r="B395" t="str">
            <v>VAR_fin</v>
          </cell>
          <cell r="C395" t="str">
            <v>RHNMLTHDHC</v>
          </cell>
          <cell r="E395">
            <v>0.34687936915827844</v>
          </cell>
          <cell r="F395">
            <v>5.321807342758398E-2</v>
          </cell>
          <cell r="G395">
            <v>0.2340016431780729</v>
          </cell>
          <cell r="H395">
            <v>0.27124791734521675</v>
          </cell>
          <cell r="I395">
            <v>0.31462200954781405</v>
          </cell>
          <cell r="J395">
            <v>0.38704888143869137</v>
          </cell>
          <cell r="K395"/>
        </row>
        <row r="396">
          <cell r="A396" t="str">
            <v>RHNM-SHLTHDH</v>
          </cell>
          <cell r="B396" t="str">
            <v>VAR_fin</v>
          </cell>
          <cell r="C396" t="str">
            <v>RHNM_LTH_DH</v>
          </cell>
          <cell r="D396"/>
          <cell r="E396">
            <v>0.35038320116997812</v>
          </cell>
          <cell r="F396">
            <v>5.8877796156853054E-2</v>
          </cell>
          <cell r="G396">
            <v>0.2576850732650941</v>
          </cell>
          <cell r="H396">
            <v>0.29846840245504824</v>
          </cell>
          <cell r="I396">
            <v>0.3458342880857227</v>
          </cell>
          <cell r="J396">
            <v>0.42544631432208502</v>
          </cell>
          <cell r="K396"/>
        </row>
        <row r="397">
          <cell r="A397" t="str">
            <v>RHNM-SHLTHDH</v>
          </cell>
          <cell r="B397" t="str">
            <v>VAR_ncap</v>
          </cell>
          <cell r="C397" t="str">
            <v>-</v>
          </cell>
          <cell r="E397">
            <v>4.8382809184743497E-2</v>
          </cell>
          <cell r="F397">
            <v>4.3096698378390599E-2</v>
          </cell>
          <cell r="G397">
            <v>1.8186158443812502E-2</v>
          </cell>
          <cell r="H397">
            <v>1.9142881310907401E-2</v>
          </cell>
          <cell r="I397">
            <v>1.43386790841721E-2</v>
          </cell>
          <cell r="J397">
            <v>2.4674058930402198E-2</v>
          </cell>
        </row>
        <row r="398">
          <cell r="A398" t="str">
            <v>RHNM-SHLTHDH</v>
          </cell>
          <cell r="B398" t="str">
            <v>VAR_cap</v>
          </cell>
          <cell r="C398" t="str">
            <v>-</v>
          </cell>
          <cell r="E398">
            <v>4.8382809184743497E-2</v>
          </cell>
          <cell r="F398">
            <v>5.9885466931002593E-2</v>
          </cell>
          <cell r="G398">
            <v>3.5063217545660691E-2</v>
          </cell>
          <cell r="H398">
            <v>3.6840502139145886E-2</v>
          </cell>
          <cell r="I398">
            <v>3.1327621956103016E-2</v>
          </cell>
          <cell r="J398">
            <v>3.9575530192074992E-2</v>
          </cell>
        </row>
        <row r="399">
          <cell r="A399" t="str">
            <v>RHNS-SHCONBR5</v>
          </cell>
          <cell r="B399" t="str">
            <v>VAR_ncap</v>
          </cell>
          <cell r="C399" t="str">
            <v>-</v>
          </cell>
          <cell r="D399"/>
          <cell r="F399">
            <v>375</v>
          </cell>
          <cell r="G399">
            <v>4.7310676183725198</v>
          </cell>
          <cell r="H399">
            <v>4.3003918622550996</v>
          </cell>
          <cell r="I399"/>
          <cell r="J399"/>
        </row>
        <row r="400">
          <cell r="A400" t="str">
            <v>RHNS-SHCONBR5</v>
          </cell>
          <cell r="B400" t="str">
            <v>VAR_cap</v>
          </cell>
          <cell r="C400" t="str">
            <v>-</v>
          </cell>
          <cell r="F400">
            <v>375</v>
          </cell>
          <cell r="G400">
            <v>11.848368678838995</v>
          </cell>
          <cell r="H400">
            <v>10.947118884982956</v>
          </cell>
          <cell r="I400">
            <v>6.3311927241859962</v>
          </cell>
          <cell r="J400">
            <v>2.8355470014540174</v>
          </cell>
        </row>
        <row r="401">
          <cell r="A401" t="str">
            <v>SCOM-SHCONBR9</v>
          </cell>
          <cell r="B401" t="str">
            <v>VAR_fout</v>
          </cell>
          <cell r="C401" t="str">
            <v>SCOM-SHCON</v>
          </cell>
          <cell r="E401">
            <v>1.2069867257982765E-3</v>
          </cell>
          <cell r="F401">
            <v>9.0463278355105211E-4</v>
          </cell>
          <cell r="G401">
            <v>8.6481944725124338E-4</v>
          </cell>
          <cell r="H401">
            <v>8.3869822076249154E-4</v>
          </cell>
          <cell r="I401">
            <v>9.5667322955571093E-4</v>
          </cell>
          <cell r="J401">
            <v>6.4381537826484485E-4</v>
          </cell>
          <cell r="K401"/>
        </row>
        <row r="402">
          <cell r="A402" t="str">
            <v>SCOM-SHCONBR9</v>
          </cell>
          <cell r="B402" t="str">
            <v>VAR_fin</v>
          </cell>
          <cell r="C402" t="str">
            <v>CON</v>
          </cell>
          <cell r="E402">
            <v>1.2069867257982765E-3</v>
          </cell>
          <cell r="F402">
            <v>9.0463278355105211E-4</v>
          </cell>
          <cell r="G402">
            <v>8.6481944725124338E-4</v>
          </cell>
          <cell r="H402">
            <v>8.3869822076249154E-4</v>
          </cell>
          <cell r="I402">
            <v>9.5667322955571093E-4</v>
          </cell>
          <cell r="J402">
            <v>6.4381537826484485E-4</v>
          </cell>
          <cell r="K402"/>
        </row>
        <row r="403">
          <cell r="A403" t="str">
            <v>SCOM-SHCONBR9</v>
          </cell>
          <cell r="B403" t="str">
            <v>VAR_ncap</v>
          </cell>
          <cell r="C403" t="str">
            <v>-</v>
          </cell>
          <cell r="E403">
            <v>1.13668210332729E-4</v>
          </cell>
          <cell r="F403">
            <v>1.76672814776608E-6</v>
          </cell>
          <cell r="G403">
            <v>1.2204642522365599E-6</v>
          </cell>
          <cell r="H403">
            <v>4.50896849417654E-7</v>
          </cell>
          <cell r="I403"/>
          <cell r="J403">
            <v>4.3803153209280698E-7</v>
          </cell>
          <cell r="K403"/>
        </row>
        <row r="404">
          <cell r="A404" t="str">
            <v>SCOM-SHCONBR9</v>
          </cell>
          <cell r="B404" t="str">
            <v>VAR_cap</v>
          </cell>
          <cell r="C404" t="str">
            <v>-</v>
          </cell>
          <cell r="E404">
            <v>1.13668210332729E-4</v>
          </cell>
          <cell r="F404">
            <v>1.1503581228330683E-4</v>
          </cell>
          <cell r="G404">
            <v>1.1581755626191148E-4</v>
          </cell>
          <cell r="H404">
            <v>1.1572189098294126E-4</v>
          </cell>
          <cell r="I404">
            <v>1.1537254365450789E-4</v>
          </cell>
          <cell r="J404">
            <v>6.816536040451169E-5</v>
          </cell>
          <cell r="K404"/>
        </row>
        <row r="405">
          <cell r="A405" t="str">
            <v>ITOT-SWHCOABR</v>
          </cell>
          <cell r="B405" t="str">
            <v>VAR_fout</v>
          </cell>
          <cell r="C405" t="str">
            <v>ITOT-SWH</v>
          </cell>
          <cell r="D405">
            <v>2.3675046449638706</v>
          </cell>
          <cell r="E405">
            <v>2.307526236939708</v>
          </cell>
          <cell r="F405">
            <v>8.6100965844087857E-2</v>
          </cell>
          <cell r="G405">
            <v>2.9365655056350394E-3</v>
          </cell>
          <cell r="H405">
            <v>2.6070217906024047E-2</v>
          </cell>
          <cell r="I405">
            <v>4.0795017065666109E-3</v>
          </cell>
          <cell r="J405">
            <v>2.3836737607569662E-5</v>
          </cell>
          <cell r="K405"/>
        </row>
        <row r="406">
          <cell r="A406" t="str">
            <v>ITOT-SWHCOABR</v>
          </cell>
          <cell r="B406" t="str">
            <v>VAR_fout</v>
          </cell>
          <cell r="C406" t="str">
            <v>CO2_I</v>
          </cell>
          <cell r="D406">
            <v>330.02658735060299</v>
          </cell>
          <cell r="E406">
            <v>321.18270595241898</v>
          </cell>
          <cell r="F406">
            <v>11.9573925599205</v>
          </cell>
          <cell r="G406">
            <v>0.40629794383935502</v>
          </cell>
          <cell r="H406">
            <v>3.5936196280868802</v>
          </cell>
          <cell r="I406">
            <v>0.56025156770181495</v>
          </cell>
          <cell r="J406">
            <v>3.24950820032604E-3</v>
          </cell>
          <cell r="K406"/>
        </row>
        <row r="407">
          <cell r="A407" t="str">
            <v>ITOT-SWHCOABR</v>
          </cell>
          <cell r="B407" t="str">
            <v>VAR_fin</v>
          </cell>
          <cell r="C407" t="str">
            <v>ICOA</v>
          </cell>
          <cell r="D407">
            <v>3.5601573608479287</v>
          </cell>
          <cell r="E407">
            <v>3.4647541095190793</v>
          </cell>
          <cell r="F407">
            <v>0.12899021100237884</v>
          </cell>
          <cell r="G407">
            <v>4.382933590500058E-3</v>
          </cell>
          <cell r="H407">
            <v>3.876612328033311E-2</v>
          </cell>
          <cell r="I407">
            <v>6.0437062319505354E-3</v>
          </cell>
          <cell r="J407">
            <v>3.5054025893484758E-5</v>
          </cell>
          <cell r="K407"/>
        </row>
        <row r="408">
          <cell r="A408" t="str">
            <v>ITOT-SWHCOABR</v>
          </cell>
          <cell r="B408" t="str">
            <v>VAR_ncap</v>
          </cell>
          <cell r="C408" t="str">
            <v>-</v>
          </cell>
          <cell r="E408">
            <v>1.34953670203996E-4</v>
          </cell>
          <cell r="F408">
            <v>1.54695638079946E-4</v>
          </cell>
          <cell r="G408">
            <v>1.7682412791727E-4</v>
          </cell>
          <cell r="H408">
            <v>2.2606975410579002E-3</v>
          </cell>
          <cell r="I408">
            <v>9.3792331652715801E-5</v>
          </cell>
          <cell r="J408">
            <v>9.9625660332793507E-6</v>
          </cell>
          <cell r="K408"/>
        </row>
        <row r="409">
          <cell r="A409" t="str">
            <v>ITOT-SWHCOABR</v>
          </cell>
          <cell r="B409" t="str">
            <v>VAR_cap</v>
          </cell>
          <cell r="C409" t="str">
            <v>-</v>
          </cell>
          <cell r="D409">
            <v>0.26172155007150499</v>
          </cell>
          <cell r="E409">
            <v>0.19891397974106109</v>
          </cell>
          <cell r="F409">
            <v>8.1722366375689415E-3</v>
          </cell>
          <cell r="G409">
            <v>2.8005988363022372E-4</v>
          </cell>
          <cell r="H409">
            <v>2.4215894081341116E-3</v>
          </cell>
          <cell r="I409">
            <v>3.8660272659986989E-4</v>
          </cell>
          <cell r="J409">
            <v>3.4319143262298828E-6</v>
          </cell>
          <cell r="K409"/>
        </row>
        <row r="410">
          <cell r="A410" t="str">
            <v>RHSA-WHDEM</v>
          </cell>
          <cell r="B410" t="str">
            <v>VAR_fout</v>
          </cell>
          <cell r="C410" t="str">
            <v>RHSA-WHD</v>
          </cell>
          <cell r="D410">
            <v>26.438654975424289</v>
          </cell>
          <cell r="E410">
            <v>25.92879146371218</v>
          </cell>
          <cell r="F410">
            <v>21.669378717171998</v>
          </cell>
          <cell r="G410">
            <v>22.092504130319799</v>
          </cell>
          <cell r="H410">
            <v>24.08147661452708</v>
          </cell>
          <cell r="I410">
            <v>26.685313554324502</v>
          </cell>
          <cell r="J410">
            <v>28.406752197009908</v>
          </cell>
        </row>
        <row r="411">
          <cell r="A411" t="str">
            <v>RHSA-WHDEM</v>
          </cell>
          <cell r="B411" t="str">
            <v>VAR_fin</v>
          </cell>
          <cell r="C411" t="str">
            <v>RHSA-WHNGA</v>
          </cell>
          <cell r="D411">
            <v>6.2141189557478809</v>
          </cell>
          <cell r="E411">
            <v>5.234427514074067</v>
          </cell>
          <cell r="F411">
            <v>5.2099595033103574</v>
          </cell>
          <cell r="G411">
            <v>3.4410111150976266</v>
          </cell>
          <cell r="H411">
            <v>2.3787463026388709</v>
          </cell>
          <cell r="I411">
            <v>1.4266726654080431</v>
          </cell>
          <cell r="J411">
            <v>0.63696238316615639</v>
          </cell>
          <cell r="K411"/>
        </row>
        <row r="412">
          <cell r="A412" t="str">
            <v>RHSA-WHDEM</v>
          </cell>
          <cell r="B412" t="str">
            <v>VAR_fin</v>
          </cell>
          <cell r="C412" t="str">
            <v>RHSA-WHLFO</v>
          </cell>
          <cell r="D412">
            <v>6.8073103847657119</v>
          </cell>
          <cell r="E412">
            <v>5.8533369348427566</v>
          </cell>
          <cell r="F412">
            <v>4.4838849417620761</v>
          </cell>
          <cell r="G412">
            <v>2.1233569891164636</v>
          </cell>
          <cell r="H412">
            <v>1.4576344151561547</v>
          </cell>
          <cell r="I412">
            <v>0.7336582495123265</v>
          </cell>
          <cell r="J412">
            <v>5.8377590972275684E-2</v>
          </cell>
          <cell r="K412"/>
        </row>
        <row r="413">
          <cell r="A413" t="str">
            <v>RHSA-WHDEM</v>
          </cell>
          <cell r="B413" t="str">
            <v>VAR_fin</v>
          </cell>
          <cell r="C413" t="str">
            <v>RHSA-WHWOD</v>
          </cell>
          <cell r="D413">
            <v>0.55631906756896887</v>
          </cell>
          <cell r="E413">
            <v>0.59639889242282418</v>
          </cell>
          <cell r="F413">
            <v>1.1874696275191177</v>
          </cell>
          <cell r="G413">
            <v>1.1596273046845882</v>
          </cell>
          <cell r="H413">
            <v>1.0750336478890454</v>
          </cell>
          <cell r="I413">
            <v>1.0025189772163225</v>
          </cell>
          <cell r="J413">
            <v>0.73458718736231066</v>
          </cell>
          <cell r="K413"/>
        </row>
        <row r="414">
          <cell r="A414" t="str">
            <v>RHSA-WHDEM</v>
          </cell>
          <cell r="B414" t="str">
            <v>VAR_fin</v>
          </cell>
          <cell r="C414" t="str">
            <v>RHSA-WHNGAH</v>
          </cell>
          <cell r="D414">
            <v>7.2128729389433127E-2</v>
          </cell>
          <cell r="E414">
            <v>1.0165150043234545E-3</v>
          </cell>
          <cell r="F414">
            <v>1.0926644785054909</v>
          </cell>
          <cell r="G414">
            <v>3.269919057941006</v>
          </cell>
          <cell r="H414">
            <v>4.5700176085521633</v>
          </cell>
          <cell r="I414">
            <v>5.9662844720483754</v>
          </cell>
          <cell r="J414">
            <v>6.6461530894050282</v>
          </cell>
        </row>
        <row r="415">
          <cell r="A415" t="str">
            <v>RHSA-WHDEM</v>
          </cell>
          <cell r="B415" t="str">
            <v>VAR_fin</v>
          </cell>
          <cell r="C415" t="str">
            <v>RHSA-WHNST</v>
          </cell>
          <cell r="D415">
            <v>2.5876170716456804E-2</v>
          </cell>
          <cell r="E415">
            <v>8.3374416397929507E-4</v>
          </cell>
          <cell r="F415">
            <v>9.9858092657333037E-5</v>
          </cell>
          <cell r="G415">
            <v>1.015975230837615E-4</v>
          </cell>
          <cell r="H415">
            <v>1.0900115390146497E-4</v>
          </cell>
          <cell r="I415">
            <v>1.1280270488939267E-4</v>
          </cell>
          <cell r="J415">
            <v>1.4070231269280037E-4</v>
          </cell>
        </row>
        <row r="416">
          <cell r="A416" t="str">
            <v>RHSA-WHDEM</v>
          </cell>
          <cell r="B416" t="str">
            <v>VAR_fin</v>
          </cell>
          <cell r="C416" t="str">
            <v>RHSA-WHPLT</v>
          </cell>
          <cell r="D416">
            <v>0.27002127484515764</v>
          </cell>
          <cell r="E416">
            <v>0.19438568313270321</v>
          </cell>
          <cell r="F416">
            <v>7.5412175777936102E-2</v>
          </cell>
          <cell r="G416">
            <v>0.10265907083754748</v>
          </cell>
          <cell r="H416">
            <v>0.11518950163641928</v>
          </cell>
          <cell r="I416">
            <v>0.13356185925187822</v>
          </cell>
          <cell r="J416">
            <v>0.1339551406786004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RHSA-WHLTHRD</v>
          </cell>
          <cell r="D417">
            <v>1.2756732442022332</v>
          </cell>
          <cell r="E417">
            <v>1.462363312970556</v>
          </cell>
          <cell r="F417">
            <v>0.95843876901028069</v>
          </cell>
          <cell r="G417">
            <v>1.4687673713999632</v>
          </cell>
          <cell r="H417">
            <v>1.691504571414981</v>
          </cell>
          <cell r="I417">
            <v>1.968016661271677</v>
          </cell>
          <cell r="J417">
            <v>2.1741278984645525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RHSA-WHELCB</v>
          </cell>
          <cell r="D418">
            <v>6.4723492587844653</v>
          </cell>
          <cell r="E418">
            <v>6.9676268868981461</v>
          </cell>
          <cell r="F418">
            <v>2.8224641674650459</v>
          </cell>
          <cell r="G418">
            <v>2.0095463626319026</v>
          </cell>
          <cell r="H418">
            <v>1.8601656617802675</v>
          </cell>
          <cell r="I418">
            <v>1.7216661835773075</v>
          </cell>
          <cell r="J418">
            <v>1.5552221046434098</v>
          </cell>
        </row>
        <row r="419">
          <cell r="A419" t="str">
            <v>RHSA-WHDEM</v>
          </cell>
          <cell r="B419" t="str">
            <v>VAR_fin</v>
          </cell>
          <cell r="C419" t="str">
            <v>RHSA-WHSOL</v>
          </cell>
          <cell r="D419">
            <v>1.6230417152948877</v>
          </cell>
          <cell r="E419">
            <v>1.9857357145221348</v>
          </cell>
          <cell r="F419">
            <v>0.93236758407444975</v>
          </cell>
          <cell r="G419">
            <v>1.0601286766748554</v>
          </cell>
          <cell r="H419">
            <v>1.1235728465051742</v>
          </cell>
          <cell r="I419">
            <v>1.2092592351113034</v>
          </cell>
          <cell r="J419">
            <v>1.2001718554086085</v>
          </cell>
        </row>
        <row r="420">
          <cell r="A420" t="str">
            <v>RHSA-WHDEM</v>
          </cell>
          <cell r="B420" t="str">
            <v>VAR_fin</v>
          </cell>
          <cell r="C420" t="str">
            <v>RHSA-WHELCH</v>
          </cell>
          <cell r="D420">
            <v>3.1235494429645434</v>
          </cell>
          <cell r="E420">
            <v>3.6343997734651601</v>
          </cell>
          <cell r="F420">
            <v>4.9090819278275069</v>
          </cell>
          <cell r="G420">
            <v>7.4598768871823147</v>
          </cell>
          <cell r="H420">
            <v>9.811866595632095</v>
          </cell>
          <cell r="I420">
            <v>12.525499988990321</v>
          </cell>
          <cell r="J420">
            <v>15.268982241950912</v>
          </cell>
          <cell r="K420"/>
        </row>
        <row r="421">
          <cell r="A421" t="str">
            <v>RHSA-WHNGAHP</v>
          </cell>
          <cell r="B421" t="str">
            <v>VAR_fout</v>
          </cell>
          <cell r="C421" t="str">
            <v>RHSA-WHANGAH</v>
          </cell>
          <cell r="F421">
            <v>1.0926357132304529</v>
          </cell>
          <cell r="G421">
            <v>3.2698639557431823</v>
          </cell>
          <cell r="H421">
            <v>4.5699062234998795</v>
          </cell>
          <cell r="I421">
            <v>5.9661597754892792</v>
          </cell>
          <cell r="J421">
            <v>6.6461113235281655</v>
          </cell>
          <cell r="K421"/>
        </row>
        <row r="422">
          <cell r="A422" t="str">
            <v>RHSA-WHNGAHP</v>
          </cell>
          <cell r="B422" t="str">
            <v>VAR_fout</v>
          </cell>
          <cell r="C422" t="str">
            <v>CO2_R</v>
          </cell>
          <cell r="F422">
            <v>30.4938763336528</v>
          </cell>
          <cell r="G422">
            <v>80.137987802175402</v>
          </cell>
          <cell r="H422">
            <v>105.87849778788301</v>
          </cell>
          <cell r="I422">
            <v>130.88737095673599</v>
          </cell>
          <cell r="J422">
            <v>120.992734954377</v>
          </cell>
        </row>
        <row r="423">
          <cell r="A423" t="str">
            <v>RHSA-WHNGAHP</v>
          </cell>
          <cell r="B423" t="str">
            <v>VAR_fin</v>
          </cell>
          <cell r="C423" t="str">
            <v>RNGA</v>
          </cell>
          <cell r="F423">
            <v>0.54067156619951751</v>
          </cell>
          <cell r="G423">
            <v>1.4208863085492085</v>
          </cell>
          <cell r="H423">
            <v>1.8772783295723885</v>
          </cell>
          <cell r="I423">
            <v>2.3206980666087866</v>
          </cell>
          <cell r="J423">
            <v>2.1452612580563235</v>
          </cell>
        </row>
        <row r="424">
          <cell r="A424" t="str">
            <v>RHSA-WHNGAHP</v>
          </cell>
          <cell r="B424" t="str">
            <v>VAR_ncap</v>
          </cell>
          <cell r="C424" t="str">
            <v>-</v>
          </cell>
          <cell r="E424">
            <v>1.2155642011933501E-5</v>
          </cell>
          <cell r="F424">
            <v>7.3020138815311303E-2</v>
          </cell>
          <cell r="G424">
            <v>0.14386512056468301</v>
          </cell>
          <cell r="H424">
            <v>9.5901906658163505E-2</v>
          </cell>
          <cell r="I424">
            <v>0.20154593591723999</v>
          </cell>
          <cell r="J424">
            <v>0.272481830370287</v>
          </cell>
          <cell r="K424"/>
        </row>
        <row r="425">
          <cell r="A425" t="str">
            <v>RHSA-WHNGAHP</v>
          </cell>
          <cell r="B425" t="str">
            <v>VAR_cap</v>
          </cell>
          <cell r="C425" t="str">
            <v>-</v>
          </cell>
          <cell r="D425">
            <v>4.7729432218241499E-11</v>
          </cell>
          <cell r="E425">
            <v>7.1374375691725684E-6</v>
          </cell>
          <cell r="F425">
            <v>7.302601569350102E-2</v>
          </cell>
          <cell r="G425">
            <v>0.21689064070113293</v>
          </cell>
          <cell r="H425">
            <v>0.31278061166842974</v>
          </cell>
          <cell r="I425">
            <v>0.40862951015237597</v>
          </cell>
          <cell r="J425">
            <v>0.45931283681379509</v>
          </cell>
          <cell r="K425"/>
        </row>
        <row r="426">
          <cell r="A426" t="str">
            <v>SCOM-SHSTG-ELCHP</v>
          </cell>
          <cell r="B426" t="str">
            <v>VAR_fout</v>
          </cell>
          <cell r="C426" t="str">
            <v>SCOM-SHAELCH</v>
          </cell>
          <cell r="D426">
            <v>3.5436336217163248E-4</v>
          </cell>
          <cell r="E426">
            <v>3.6482215342023073E-4</v>
          </cell>
          <cell r="F426">
            <v>3.9190081420832385E-4</v>
          </cell>
          <cell r="G426">
            <v>4.0556666590669497E-4</v>
          </cell>
          <cell r="H426">
            <v>3.5745530068694855E-4</v>
          </cell>
          <cell r="I426">
            <v>3.6530680276368981E-4</v>
          </cell>
          <cell r="J426">
            <v>2.2172891584572194E-4</v>
          </cell>
        </row>
        <row r="427">
          <cell r="A427" t="str">
            <v>SCOM-SHSTG-ELCHP</v>
          </cell>
          <cell r="B427" t="str">
            <v>VAR_fin</v>
          </cell>
          <cell r="C427" t="str">
            <v>SCOM-SHAELCH</v>
          </cell>
          <cell r="D427">
            <v>4.6492173466307736E-4</v>
          </cell>
          <cell r="E427">
            <v>4.6106613107833579E-4</v>
          </cell>
          <cell r="F427">
            <v>4.1284122321184414E-4</v>
          </cell>
          <cell r="G427">
            <v>4.4780446477233444E-4</v>
          </cell>
          <cell r="H427">
            <v>3.59938966048281E-4</v>
          </cell>
          <cell r="I427">
            <v>3.9649502372748912E-4</v>
          </cell>
          <cell r="J427">
            <v>2.4047011796547347E-4</v>
          </cell>
        </row>
        <row r="428">
          <cell r="A428" t="str">
            <v>SCOM-SHSTG-ELCHP</v>
          </cell>
          <cell r="B428" t="str">
            <v>VAR_ncap</v>
          </cell>
          <cell r="C428" t="str">
            <v>-</v>
          </cell>
          <cell r="D428">
            <v>0.103922464914255</v>
          </cell>
          <cell r="E428">
            <v>1.5033560052458901E-3</v>
          </cell>
          <cell r="F428">
            <v>1.2701976762125001E-3</v>
          </cell>
          <cell r="G428">
            <v>4.8014967082521801E-2</v>
          </cell>
          <cell r="H428">
            <v>0.13906245422285399</v>
          </cell>
          <cell r="I428">
            <v>0.11776258960007301</v>
          </cell>
          <cell r="J428">
            <v>0.194354966409403</v>
          </cell>
          <cell r="K428"/>
        </row>
        <row r="429">
          <cell r="A429" t="str">
            <v>SCOM-SHSTG-ELCHP</v>
          </cell>
          <cell r="B429" t="str">
            <v>VAR_cap</v>
          </cell>
          <cell r="C429" t="str">
            <v>-</v>
          </cell>
          <cell r="D429">
            <v>0.103922464914255</v>
          </cell>
          <cell r="E429">
            <v>0.10133381470316592</v>
          </cell>
          <cell r="F429">
            <v>0.10134288656198828</v>
          </cell>
          <cell r="G429">
            <v>0.14886345078857885</v>
          </cell>
          <cell r="H429">
            <v>0.21092857554549899</v>
          </cell>
          <cell r="I429">
            <v>0.28859043233385795</v>
          </cell>
          <cell r="J429">
            <v>0.33754901549553917</v>
          </cell>
          <cell r="K429"/>
        </row>
        <row r="430">
          <cell r="A430" t="str">
            <v>RHEM-SHLFOBR</v>
          </cell>
          <cell r="B430" t="str">
            <v>VAR_fout</v>
          </cell>
          <cell r="C430" t="str">
            <v>CO2_R</v>
          </cell>
          <cell r="D430">
            <v>1928.7243838209699</v>
          </cell>
          <cell r="E430">
            <v>1537.4272806643</v>
          </cell>
          <cell r="F430">
            <v>1741.6949708731299</v>
          </cell>
          <cell r="G430">
            <v>900.20132426777104</v>
          </cell>
          <cell r="H430">
            <v>594.908090495073</v>
          </cell>
          <cell r="I430">
            <v>221.636171198727</v>
          </cell>
          <cell r="J430">
            <v>24.018413228654801</v>
          </cell>
          <cell r="K430"/>
        </row>
        <row r="431">
          <cell r="A431" t="str">
            <v>RHEM-SHLFOBR</v>
          </cell>
          <cell r="B431" t="str">
            <v>VAR_fout</v>
          </cell>
          <cell r="C431" t="str">
            <v>RHEM-SHLFO</v>
          </cell>
          <cell r="D431">
            <v>23.443902223061329</v>
          </cell>
          <cell r="E431">
            <v>18.687633725849473</v>
          </cell>
          <cell r="F431">
            <v>20.242037192146782</v>
          </cell>
          <cell r="G431">
            <v>10.639365002492285</v>
          </cell>
          <cell r="H431">
            <v>7.0311430866436293</v>
          </cell>
          <cell r="I431">
            <v>2.6194897292071735</v>
          </cell>
          <cell r="J431">
            <v>0.28387057231692631</v>
          </cell>
          <cell r="K431"/>
        </row>
        <row r="432">
          <cell r="A432" t="str">
            <v>RHEM-SHLFOBR</v>
          </cell>
          <cell r="B432" t="str">
            <v>VAR_fin</v>
          </cell>
          <cell r="C432" t="str">
            <v>RLFO</v>
          </cell>
          <cell r="D432">
            <v>26.169937365277733</v>
          </cell>
          <cell r="E432">
            <v>20.860614391645907</v>
          </cell>
          <cell r="F432">
            <v>23.632224842240507</v>
          </cell>
          <cell r="G432">
            <v>12.21440060064818</v>
          </cell>
          <cell r="H432">
            <v>8.0720229375179446</v>
          </cell>
          <cell r="I432">
            <v>3.0072750501862577</v>
          </cell>
          <cell r="J432">
            <v>0.3258943450292372</v>
          </cell>
          <cell r="K432"/>
        </row>
        <row r="433">
          <cell r="A433" t="str">
            <v>RHEM-SHLFOBR</v>
          </cell>
          <cell r="B433" t="str">
            <v>VAR_ncap</v>
          </cell>
          <cell r="C433" t="str">
            <v>-</v>
          </cell>
          <cell r="E433">
            <v>6.83385215327914E-6</v>
          </cell>
          <cell r="F433">
            <v>7.7883971849174195E-6</v>
          </cell>
          <cell r="G433">
            <v>7.5665059624373897E-6</v>
          </cell>
          <cell r="H433">
            <v>8.3835855925899996E-2</v>
          </cell>
          <cell r="I433">
            <v>0.103448667031192</v>
          </cell>
          <cell r="J433">
            <v>3.5296621638672299E-6</v>
          </cell>
          <cell r="K433"/>
        </row>
        <row r="434">
          <cell r="A434" t="str">
            <v>RHEM-SHLFOBR</v>
          </cell>
          <cell r="B434" t="str">
            <v>VAR_cap</v>
          </cell>
          <cell r="C434" t="str">
            <v>-</v>
          </cell>
          <cell r="D434">
            <v>1.65587464377338</v>
          </cell>
          <cell r="E434">
            <v>1.6392095137916001</v>
          </cell>
          <cell r="F434">
            <v>1.6385857977702225</v>
          </cell>
          <cell r="G434">
            <v>1.6336409475130818</v>
          </cell>
          <cell r="H434">
            <v>0.50747819180810616</v>
          </cell>
          <cell r="I434">
            <v>0.18728012788096607</v>
          </cell>
          <cell r="J434">
            <v>3.1241839813963404E-2</v>
          </cell>
          <cell r="K434"/>
        </row>
        <row r="435">
          <cell r="A435" t="str">
            <v>RHES-SHNGAHP</v>
          </cell>
          <cell r="B435" t="str">
            <v>VAR_fout</v>
          </cell>
          <cell r="C435" t="str">
            <v>RHES-SHANGAH</v>
          </cell>
          <cell r="F435">
            <v>2.2604374736608484</v>
          </cell>
          <cell r="G435">
            <v>5.4980173834431394</v>
          </cell>
          <cell r="H435">
            <v>6.5772807512249694</v>
          </cell>
          <cell r="I435">
            <v>7.665931605124479</v>
          </cell>
          <cell r="J435">
            <v>7.0922339913544992</v>
          </cell>
          <cell r="K435"/>
        </row>
        <row r="436">
          <cell r="A436" t="str">
            <v>RHES-SHNGAHP</v>
          </cell>
          <cell r="B436" t="str">
            <v>VAR_fout</v>
          </cell>
          <cell r="C436" t="str">
            <v>CO2_R</v>
          </cell>
          <cell r="F436">
            <v>70.247804467185105</v>
          </cell>
          <cell r="G436">
            <v>163.46964728901401</v>
          </cell>
          <cell r="H436">
            <v>192.30692832864</v>
          </cell>
          <cell r="I436">
            <v>219.95004418458601</v>
          </cell>
          <cell r="J436">
            <v>191.39764413418899</v>
          </cell>
          <cell r="K436"/>
        </row>
        <row r="437">
          <cell r="A437" t="str">
            <v>RHES-SHNGAHP</v>
          </cell>
          <cell r="B437" t="str">
            <v>VAR_fin</v>
          </cell>
          <cell r="C437" t="str">
            <v>RHESELCHPC</v>
          </cell>
          <cell r="F437">
            <v>2.2604374736608484</v>
          </cell>
          <cell r="G437">
            <v>5.4980173834431394</v>
          </cell>
          <cell r="H437">
            <v>6.5772807512249694</v>
          </cell>
          <cell r="I437">
            <v>7.665931605124479</v>
          </cell>
          <cell r="J437">
            <v>7.0922339913544992</v>
          </cell>
          <cell r="K437"/>
        </row>
        <row r="438">
          <cell r="A438" t="str">
            <v>RHES-SHNGAHP</v>
          </cell>
          <cell r="B438" t="str">
            <v>VAR_fin</v>
          </cell>
          <cell r="C438" t="str">
            <v>RNGA</v>
          </cell>
          <cell r="F438">
            <v>1.2455284479997359</v>
          </cell>
          <cell r="G438">
            <v>2.8983980015782658</v>
          </cell>
          <cell r="H438">
            <v>3.4096973107914845</v>
          </cell>
          <cell r="I438">
            <v>3.8998234784501018</v>
          </cell>
          <cell r="J438">
            <v>3.3935752506061823</v>
          </cell>
          <cell r="K438"/>
        </row>
        <row r="439">
          <cell r="A439" t="str">
            <v>RHES-SHNGAHP</v>
          </cell>
          <cell r="B439" t="str">
            <v>VAR_ncap</v>
          </cell>
          <cell r="C439" t="str">
            <v>-</v>
          </cell>
          <cell r="E439">
            <v>5.8234949973101697E-6</v>
          </cell>
          <cell r="F439">
            <v>0.18302156316620299</v>
          </cell>
          <cell r="G439">
            <v>0.26133878972106001</v>
          </cell>
          <cell r="H439">
            <v>8.7450080116015599E-2</v>
          </cell>
          <cell r="I439">
            <v>0.32223883093355998</v>
          </cell>
          <cell r="J439">
            <v>0.30322373174769202</v>
          </cell>
          <cell r="K439"/>
        </row>
        <row r="440">
          <cell r="A440" t="str">
            <v>RHES-SHNGAHP</v>
          </cell>
          <cell r="B440" t="str">
            <v>VAR_cap</v>
          </cell>
          <cell r="C440" t="str">
            <v>-</v>
          </cell>
          <cell r="E440">
            <v>5.8234949973101697E-6</v>
          </cell>
          <cell r="F440">
            <v>0.18302499252348023</v>
          </cell>
          <cell r="G440">
            <v>0.44436319313904526</v>
          </cell>
          <cell r="H440">
            <v>0.53180587875794394</v>
          </cell>
          <cell r="I440">
            <v>0.62059071222479878</v>
          </cell>
          <cell r="J440">
            <v>0.57407152480624313</v>
          </cell>
        </row>
        <row r="441">
          <cell r="A441" t="str">
            <v>D-RHES_LTH_CHPWOD</v>
          </cell>
          <cell r="B441" t="str">
            <v>VAR_fout</v>
          </cell>
          <cell r="C441" t="str">
            <v>RHES_LTH_CHPWOD_ON</v>
          </cell>
          <cell r="D441">
            <v>5.382490178127686E-4</v>
          </cell>
          <cell r="E441">
            <v>1.4868872976468454E-4</v>
          </cell>
          <cell r="F441">
            <v>7.1914984971815118E-5</v>
          </cell>
          <cell r="G441">
            <v>6.7755334321466267E-5</v>
          </cell>
          <cell r="H441">
            <v>1.5292889127553199E-4</v>
          </cell>
          <cell r="I441">
            <v>1.8184781027314094E-4</v>
          </cell>
          <cell r="J441">
            <v>7.2314456069522899E-5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RHSA_LTH</v>
          </cell>
          <cell r="D442">
            <v>3.9443554742480227E-4</v>
          </cell>
          <cell r="E442">
            <v>4.0509274502145291E-4</v>
          </cell>
          <cell r="F442">
            <v>1.5997700512551514E-4</v>
          </cell>
          <cell r="G442">
            <v>3.6242140184151566E-4</v>
          </cell>
          <cell r="H442">
            <v>2.2638270732905792E-4</v>
          </cell>
          <cell r="I442">
            <v>2.1476353766987919E-4</v>
          </cell>
          <cell r="J442">
            <v>2.1191277494478467E-4</v>
          </cell>
          <cell r="K442"/>
        </row>
        <row r="443">
          <cell r="A443" t="str">
            <v>D-RHES_LTH_CHPWOD</v>
          </cell>
          <cell r="B443" t="str">
            <v>VAR_fout</v>
          </cell>
          <cell r="C443" t="str">
            <v>LTH</v>
          </cell>
          <cell r="E443">
            <v>9.73863017620633E-6</v>
          </cell>
          <cell r="F443">
            <v>9.6416999833410417E-6</v>
          </cell>
          <cell r="G443">
            <v>2.0943032281986077E-5</v>
          </cell>
          <cell r="H443">
            <v>3.3484240212209424E-5</v>
          </cell>
          <cell r="I443">
            <v>1.0237587962459503E-4</v>
          </cell>
          <cell r="J443">
            <v>1.169285591380002E-4</v>
          </cell>
          <cell r="K443"/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D444">
            <v>9.3268456523757054E-4</v>
          </cell>
          <cell r="E444">
            <v>5.6352010496234391E-4</v>
          </cell>
          <cell r="F444">
            <v>2.4153369008067126E-4</v>
          </cell>
          <cell r="G444">
            <v>4.5111976844496834E-4</v>
          </cell>
          <cell r="H444">
            <v>4.127958388167992E-4</v>
          </cell>
          <cell r="I444">
            <v>4.9898722756761547E-4</v>
          </cell>
          <cell r="J444">
            <v>4.0115579015230832E-4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D445">
            <v>6.8107582252723106E-2</v>
          </cell>
          <cell r="E445">
            <v>8.5601774398449418E-2</v>
          </cell>
          <cell r="F445">
            <v>0.10204303950376965</v>
          </cell>
          <cell r="G445">
            <v>2.3313497198267528</v>
          </cell>
          <cell r="H445">
            <v>2.2816749892569783</v>
          </cell>
          <cell r="I445">
            <v>1.9427122909535901</v>
          </cell>
          <cell r="J445">
            <v>1.5090813673207693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D446">
            <v>6.8107582252723106E-2</v>
          </cell>
          <cell r="E446">
            <v>8.5601774398449418E-2</v>
          </cell>
          <cell r="F446">
            <v>0.10204303950376965</v>
          </cell>
          <cell r="G446">
            <v>2.3313497198267528</v>
          </cell>
          <cell r="H446">
            <v>2.2816749892569783</v>
          </cell>
          <cell r="I446">
            <v>1.9427122909535901</v>
          </cell>
          <cell r="J446">
            <v>1.5090813673207693</v>
          </cell>
          <cell r="K446"/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E447">
            <v>0.34313327500594498</v>
          </cell>
          <cell r="F447">
            <v>8.8488025322031299E-7</v>
          </cell>
          <cell r="G447">
            <v>1.0531388969334801E-6</v>
          </cell>
          <cell r="H447">
            <v>0.17458467285475501</v>
          </cell>
          <cell r="I447">
            <v>0.178329680407118</v>
          </cell>
          <cell r="J447">
            <v>0.151758318404799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D448">
            <v>9.8214799778629808E-3</v>
          </cell>
          <cell r="E448">
            <v>0.35295475498380796</v>
          </cell>
          <cell r="F448">
            <v>0.35295563986406198</v>
          </cell>
          <cell r="G448">
            <v>0.35295669300295796</v>
          </cell>
          <cell r="H448">
            <v>0.35293586525050258</v>
          </cell>
          <cell r="I448">
            <v>0.352915229273015</v>
          </cell>
          <cell r="J448">
            <v>0.35502652860238598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F449">
            <v>2.3718667742634878</v>
          </cell>
          <cell r="G449">
            <v>6.621999952675254</v>
          </cell>
          <cell r="H449">
            <v>8.6337602659160684</v>
          </cell>
          <cell r="I449">
            <v>11.067917154214001</v>
          </cell>
          <cell r="J449">
            <v>11.379359541489546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F450">
            <v>69.718644533660594</v>
          </cell>
          <cell r="G450">
            <v>186.15308141094201</v>
          </cell>
          <cell r="H450">
            <v>236.773952801571</v>
          </cell>
          <cell r="I450">
            <v>295.82341577373103</v>
          </cell>
          <cell r="J450">
            <v>279.62555028187302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F451">
            <v>2.3718667742634878</v>
          </cell>
          <cell r="G451">
            <v>6.621999952675254</v>
          </cell>
          <cell r="H451">
            <v>8.6337602659160684</v>
          </cell>
          <cell r="I451">
            <v>11.067917154214001</v>
          </cell>
          <cell r="J451">
            <v>11.379359541489546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F452">
            <v>1.2361461796748339</v>
          </cell>
          <cell r="G452">
            <v>3.3005865498394074</v>
          </cell>
          <cell r="H452">
            <v>4.1981197305243123</v>
          </cell>
          <cell r="I452">
            <v>5.2450960243569282</v>
          </cell>
          <cell r="J452">
            <v>4.9578998276927866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D453">
            <v>7.2945082589676304E-6</v>
          </cell>
          <cell r="E453">
            <v>1.1004426603172699E-3</v>
          </cell>
          <cell r="F453">
            <v>0.184093500600783</v>
          </cell>
          <cell r="G453">
            <v>0.327606639103666</v>
          </cell>
          <cell r="H453">
            <v>0.157072648138671</v>
          </cell>
          <cell r="I453">
            <v>0.44710072916674998</v>
          </cell>
          <cell r="J453">
            <v>0.49932433927963399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D454">
            <v>7.2945082589676304E-6</v>
          </cell>
          <cell r="E454">
            <v>1.1029641355939169E-3</v>
          </cell>
          <cell r="F454">
            <v>0.18519308585200112</v>
          </cell>
          <cell r="G454">
            <v>0.51279718208965319</v>
          </cell>
          <cell r="H454">
            <v>0.66931594286762641</v>
          </cell>
          <cell r="I454">
            <v>0.86051782019620926</v>
          </cell>
          <cell r="J454">
            <v>0.89023581513732908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E455">
            <v>6.0708568208921001</v>
          </cell>
          <cell r="F455">
            <v>2.37046534435351</v>
          </cell>
          <cell r="G455">
            <v>5.1279269403334</v>
          </cell>
          <cell r="H455">
            <v>5.1122419188940897</v>
          </cell>
          <cell r="I455">
            <v>4.7828460518915996</v>
          </cell>
          <cell r="J455">
            <v>2.0661375459898799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E456">
            <v>0.10225734006821806</v>
          </cell>
          <cell r="F456">
            <v>4.0331251343500275E-2</v>
          </cell>
          <cell r="G456">
            <v>8.7246882049691651E-2</v>
          </cell>
          <cell r="H456">
            <v>8.6980016076095221E-2</v>
          </cell>
          <cell r="I456">
            <v>8.1375653398854511E-2</v>
          </cell>
          <cell r="J456">
            <v>3.5153398414388817E-2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E457">
            <v>0.10763930533496632</v>
          </cell>
          <cell r="F457">
            <v>4.202952738215452E-2</v>
          </cell>
          <cell r="G457">
            <v>9.0920690431443241E-2</v>
          </cell>
          <cell r="H457">
            <v>9.0642587214434203E-2</v>
          </cell>
          <cell r="I457">
            <v>8.4802234962617087E-2</v>
          </cell>
          <cell r="J457">
            <v>3.6633644432444594E-2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E458">
            <v>8.1999461427128498E-3</v>
          </cell>
          <cell r="F458">
            <v>2.2483629102857801E-5</v>
          </cell>
          <cell r="G458">
            <v>1.58988682855729E-5</v>
          </cell>
          <cell r="H458">
            <v>4.2619961144191596E-3</v>
          </cell>
          <cell r="I458">
            <v>2.7134544615970901E-3</v>
          </cell>
          <cell r="J458">
            <v>4.8475473071260699E-5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E459">
            <v>8.1999461427128498E-3</v>
          </cell>
          <cell r="F459">
            <v>8.2145681237354821E-3</v>
          </cell>
          <cell r="G459">
            <v>8.2218003194307557E-3</v>
          </cell>
          <cell r="H459">
            <v>8.4693988098903661E-3</v>
          </cell>
          <cell r="I459">
            <v>6.9793609146918557E-3</v>
          </cell>
          <cell r="J459">
            <v>3.8076004834184849E-3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D460">
            <v>4.0734707669926116E-4</v>
          </cell>
          <cell r="E460">
            <v>6.2575142036286275E-3</v>
          </cell>
          <cell r="F460">
            <v>1.6589833765079585E-2</v>
          </cell>
          <cell r="G460">
            <v>3.54494107695061E-4</v>
          </cell>
          <cell r="H460">
            <v>2.6882745653693393E-4</v>
          </cell>
          <cell r="I460">
            <v>2.9292069302410068E-4</v>
          </cell>
          <cell r="J460">
            <v>2.7420988646864825E-4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E461">
            <v>3.5321755210567951E-6</v>
          </cell>
          <cell r="F461">
            <v>6.8358881013492334E-6</v>
          </cell>
          <cell r="G461">
            <v>2.0960940941049377E-5</v>
          </cell>
          <cell r="H461">
            <v>3.4685841422163374E-5</v>
          </cell>
          <cell r="I461">
            <v>1.0666649735981062E-4</v>
          </cell>
          <cell r="J461">
            <v>1.2376847937693627E-4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  <cell r="D462">
            <v>5.2522698576197471E-4</v>
          </cell>
          <cell r="E462">
            <v>2.7657652985912645E-3</v>
          </cell>
          <cell r="G462">
            <v>7.5679727935820039E-5</v>
          </cell>
          <cell r="H462">
            <v>1.1058217858977702E-4</v>
          </cell>
          <cell r="I462">
            <v>1.51149038985125E-4</v>
          </cell>
          <cell r="J462">
            <v>6.2929794167410267E-5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D463">
            <v>9.3257406246123533E-4</v>
          </cell>
          <cell r="E463">
            <v>9.0272466060294758E-3</v>
          </cell>
          <cell r="F463">
            <v>1.6596669653180938E-2</v>
          </cell>
          <cell r="G463">
            <v>4.5113477657193057E-4</v>
          </cell>
          <cell r="H463">
            <v>4.1409547654887421E-4</v>
          </cell>
          <cell r="I463">
            <v>5.5073622936903648E-4</v>
          </cell>
          <cell r="J463">
            <v>4.6090816001299472E-4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E464">
            <v>7.5536230209735811E-3</v>
          </cell>
          <cell r="F464">
            <v>0.93952595332088373</v>
          </cell>
          <cell r="G464">
            <v>1.4406614028610831</v>
          </cell>
          <cell r="H464">
            <v>1.9495996668508624</v>
          </cell>
          <cell r="I464">
            <v>2.3712930841478994</v>
          </cell>
          <cell r="J464">
            <v>3.0108881216637196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E465">
            <v>2.3218103548074548E-3</v>
          </cell>
          <cell r="F465">
            <v>0.27997671124155438</v>
          </cell>
          <cell r="G465">
            <v>0.40783215068754231</v>
          </cell>
          <cell r="H465">
            <v>0.52774001059291531</v>
          </cell>
          <cell r="I465">
            <v>0.61871042529055909</v>
          </cell>
          <cell r="J465">
            <v>0.72939241710007374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E466">
            <v>7.5536230209735811E-3</v>
          </cell>
          <cell r="F466">
            <v>0.93952595332088373</v>
          </cell>
          <cell r="G466">
            <v>1.4406614028610831</v>
          </cell>
          <cell r="H466">
            <v>1.9495996668508624</v>
          </cell>
          <cell r="I466">
            <v>2.3712930841478994</v>
          </cell>
          <cell r="J466">
            <v>3.0108881216637196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E467">
            <v>2.3208457636032199E-3</v>
          </cell>
          <cell r="F467">
            <v>7.3034329447363197E-2</v>
          </cell>
          <cell r="G467">
            <v>4.0579580972990803E-2</v>
          </cell>
          <cell r="H467">
            <v>3.9282911173004503E-2</v>
          </cell>
          <cell r="I467">
            <v>0.10787329497138699</v>
          </cell>
          <cell r="J467">
            <v>0.139609040318663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E468">
            <v>2.3208457636032199E-3</v>
          </cell>
          <cell r="F468">
            <v>7.5351075253536945E-2</v>
          </cell>
          <cell r="G468">
            <v>0.11591861507969782</v>
          </cell>
          <cell r="H468">
            <v>0.15406395248521948</v>
          </cell>
          <cell r="I468">
            <v>0.18779621930430043</v>
          </cell>
          <cell r="J468">
            <v>0.23450823808175922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7.7367046441443641</v>
          </cell>
          <cell r="I469">
            <v>8.9865362558323376</v>
          </cell>
          <cell r="J469">
            <v>7.9556468467417334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7.7367046441443641</v>
          </cell>
          <cell r="I470">
            <v>8.9865362558323376</v>
          </cell>
          <cell r="J470">
            <v>7.9556468467417334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G471">
            <v>1.03931012522124E-5</v>
          </cell>
          <cell r="H471">
            <v>0.27367187743653099</v>
          </cell>
          <cell r="I471">
            <v>0.38541004069599599</v>
          </cell>
          <cell r="J471">
            <v>0.168504971435156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G472">
            <v>1.03931012522124E-5</v>
          </cell>
          <cell r="H472">
            <v>0.273679767693216</v>
          </cell>
          <cell r="I472">
            <v>0.43388332997002199</v>
          </cell>
          <cell r="J472">
            <v>0.300516099082136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D473">
            <v>0.58215700676033999</v>
          </cell>
          <cell r="E473">
            <v>0.667964833689355</v>
          </cell>
          <cell r="F473">
            <v>3.59813952824673E-3</v>
          </cell>
          <cell r="G473">
            <v>1.0627027276904906E-3</v>
          </cell>
          <cell r="H473">
            <v>2.0399596740725703E-4</v>
          </cell>
          <cell r="I473">
            <v>2.0151143007086212E-4</v>
          </cell>
          <cell r="J473">
            <v>3.2983616229752429E-4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D474">
            <v>0.58273916376710033</v>
          </cell>
          <cell r="E474">
            <v>0.66863279852304458</v>
          </cell>
          <cell r="F474">
            <v>3.6017376677749779E-3</v>
          </cell>
          <cell r="G474">
            <v>1.0637654304181809E-3</v>
          </cell>
          <cell r="H474">
            <v>2.0419996337466426E-4</v>
          </cell>
          <cell r="I474">
            <v>2.0171294150093296E-4</v>
          </cell>
          <cell r="J474">
            <v>3.3016599845982171E-4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D475">
            <v>0.58233611858217948</v>
          </cell>
          <cell r="E475">
            <v>0.6679528777478887</v>
          </cell>
          <cell r="F475">
            <v>3.5665449301001528E-3</v>
          </cell>
          <cell r="G475">
            <v>1.049939873835075E-3</v>
          </cell>
          <cell r="H475">
            <v>2.1442588432641797E-4</v>
          </cell>
          <cell r="I475">
            <v>2.156964729885996E-4</v>
          </cell>
          <cell r="J475">
            <v>3.3967084383711274E-4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D476">
            <v>8.5356383397988303E-2</v>
          </cell>
          <cell r="E476">
            <v>4.1694570543109998E-4</v>
          </cell>
          <cell r="F476">
            <v>2.24549889339112E-4</v>
          </cell>
          <cell r="G476">
            <v>3.3726928909517799E-4</v>
          </cell>
          <cell r="H476">
            <v>2.9481874919249301E-4</v>
          </cell>
          <cell r="I476">
            <v>1.86484123943229E-4</v>
          </cell>
          <cell r="J476">
            <v>1.0328674283026599E-4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D477">
            <v>8.5356383397988303E-2</v>
          </cell>
          <cell r="E477">
            <v>7.688864118584568E-2</v>
          </cell>
          <cell r="F477">
            <v>1.201745770787202E-3</v>
          </cell>
          <cell r="G477">
            <v>4.0267189024428829E-4</v>
          </cell>
          <cell r="H477">
            <v>1.1691107941130124E-4</v>
          </cell>
          <cell r="I477">
            <v>1.0428501475292107E-4</v>
          </cell>
          <cell r="J477">
            <v>1.1113858676757099E-4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G478">
            <v>2.4561590242489401E-4</v>
          </cell>
          <cell r="H478">
            <v>4.3620998010372801E-4</v>
          </cell>
          <cell r="I478">
            <v>2.7334408448105899E-4</v>
          </cell>
          <cell r="J478">
            <v>1.48392141542486E-4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G479">
            <v>2.4561590242489401E-4</v>
          </cell>
          <cell r="H479">
            <v>5.5898135137419391E-4</v>
          </cell>
          <cell r="I479">
            <v>4.9315887061722702E-4</v>
          </cell>
          <cell r="J479">
            <v>2.5098415081701306E-4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D480">
            <v>72.708169056255471</v>
          </cell>
          <cell r="E480">
            <v>73.852692481414579</v>
          </cell>
          <cell r="F480">
            <v>76.069980061562006</v>
          </cell>
          <cell r="G480">
            <v>76.729393885461121</v>
          </cell>
          <cell r="H480">
            <v>77.201202586744301</v>
          </cell>
          <cell r="I480">
            <v>77.824090106886814</v>
          </cell>
          <cell r="J480">
            <v>78.65637758652727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F481">
            <v>6.9230378015125271E-2</v>
          </cell>
          <cell r="G481">
            <v>2.4951663942571305E-2</v>
          </cell>
          <cell r="H481">
            <v>5.4526367940087965E-2</v>
          </cell>
          <cell r="I481">
            <v>2.9680247964664879E-2</v>
          </cell>
          <cell r="J481">
            <v>1.8633559885595872E-2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D482">
            <v>61.717366117782447</v>
          </cell>
          <cell r="E482">
            <v>60.310224378407177</v>
          </cell>
          <cell r="F482">
            <v>61.063778614449284</v>
          </cell>
          <cell r="G482">
            <v>53.176603724230489</v>
          </cell>
          <cell r="H482">
            <v>52.633664540326997</v>
          </cell>
          <cell r="I482">
            <v>44.989247380348324</v>
          </cell>
          <cell r="J482">
            <v>42.358987760096376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D483">
            <v>1.1081275654045448</v>
          </cell>
          <cell r="E483">
            <v>1.400841716428753</v>
          </cell>
          <cell r="F483">
            <v>2.5758863445991289</v>
          </cell>
          <cell r="G483">
            <v>6.1159433753840968</v>
          </cell>
          <cell r="H483">
            <v>7.1168363659635476</v>
          </cell>
          <cell r="I483">
            <v>7.1236637212910781</v>
          </cell>
          <cell r="J483">
            <v>10.943615698418366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E484">
            <v>1.7219299153213108</v>
          </cell>
          <cell r="F484">
            <v>1.7218870968899473</v>
          </cell>
          <cell r="G484">
            <v>1.7823025050266423</v>
          </cell>
          <cell r="H484">
            <v>1.8195739568843186</v>
          </cell>
          <cell r="I484">
            <v>10.570835766449784</v>
          </cell>
          <cell r="J484">
            <v>10.630063263722249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D485">
            <v>9.8143037599870251</v>
          </cell>
          <cell r="E485">
            <v>10.335130202796305</v>
          </cell>
          <cell r="F485">
            <v>10.53932707585988</v>
          </cell>
          <cell r="G485">
            <v>13.300258218375667</v>
          </cell>
          <cell r="H485">
            <v>13.298095949877537</v>
          </cell>
          <cell r="I485">
            <v>13.188533738048813</v>
          </cell>
          <cell r="J485">
            <v>13.20208042030481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D486">
            <v>6.8371613081546115E-2</v>
          </cell>
          <cell r="E486">
            <v>8.6240394419687616E-2</v>
          </cell>
          <cell r="F486">
            <v>0.10221185182747444</v>
          </cell>
          <cell r="G486">
            <v>2.3310591125078908</v>
          </cell>
          <cell r="H486">
            <v>2.281151481143354</v>
          </cell>
          <cell r="I486">
            <v>1.9243418730543276</v>
          </cell>
          <cell r="J486">
            <v>1.5057564826960077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E487">
            <v>1.4731516005319785E-3</v>
          </cell>
          <cell r="F487">
            <v>2.6639753941495076E-3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E488">
            <v>1.3644797865013554E-3</v>
          </cell>
          <cell r="F488">
            <v>2.3377320324447673E-3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E489">
            <v>2.8376313870333348E-3</v>
          </cell>
          <cell r="F489">
            <v>4.8644748530734302E-3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F490">
            <v>1.2747252033572904E-2</v>
          </cell>
          <cell r="G490">
            <v>3.946146153854585E-2</v>
          </cell>
          <cell r="H490">
            <v>5.1824773437900692E-2</v>
          </cell>
          <cell r="I490">
            <v>6.9626053737992424E-2</v>
          </cell>
          <cell r="J490">
            <v>8.9216559278989777E-2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F491">
            <v>1.2759999285606479E-2</v>
          </cell>
          <cell r="G491">
            <v>3.9500923000084391E-2</v>
          </cell>
          <cell r="H491">
            <v>5.1876598211338623E-2</v>
          </cell>
          <cell r="I491">
            <v>6.9695679791730414E-2</v>
          </cell>
          <cell r="J491">
            <v>8.9305775838268847E-2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F492">
            <v>1.3176984028213757E-2</v>
          </cell>
          <cell r="G492">
            <v>3.986700889115264E-2</v>
          </cell>
          <cell r="H492">
            <v>5.2106079011037316E-2</v>
          </cell>
          <cell r="I492">
            <v>6.9862035837243611E-2</v>
          </cell>
          <cell r="J492">
            <v>8.9573703252666018E-2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D493">
            <v>3.3128484197471E-4</v>
          </cell>
          <cell r="E493">
            <v>2.4232887596392701E-4</v>
          </cell>
          <cell r="F493">
            <v>5.4364583411108999E-3</v>
          </cell>
          <cell r="G493">
            <v>8.1587174020800093E-3</v>
          </cell>
          <cell r="H493">
            <v>6.3342497500283104E-3</v>
          </cell>
          <cell r="I493">
            <v>1.19479339964746E-2</v>
          </cell>
          <cell r="J493">
            <v>1.6937071448213201E-2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D494">
            <v>3.3128484197471E-4</v>
          </cell>
          <cell r="E494">
            <v>2.8570615770151997E-5</v>
          </cell>
          <cell r="F494">
            <v>5.3485833128585547E-3</v>
          </cell>
          <cell r="G494">
            <v>1.312448967709428E-2</v>
          </cell>
          <cell r="H494">
            <v>1.8710465333125079E-2</v>
          </cell>
          <cell r="I494">
            <v>2.3427805530352012E-2</v>
          </cell>
          <cell r="J494">
            <v>2.7409237910014872E-2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D495">
            <v>0.43687091603376721</v>
          </cell>
          <cell r="E495">
            <v>0.55213811081003705</v>
          </cell>
          <cell r="F495">
            <v>1.6042881164276321</v>
          </cell>
          <cell r="G495">
            <v>3.1475976994673842</v>
          </cell>
          <cell r="H495">
            <v>3.8185844985630042</v>
          </cell>
          <cell r="I495">
            <v>3.818847952737721</v>
          </cell>
          <cell r="J495">
            <v>4.2657637804033888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D496">
            <v>0.43687091603376721</v>
          </cell>
          <cell r="E496">
            <v>0.55213811081003705</v>
          </cell>
          <cell r="F496">
            <v>1.6042881164276321</v>
          </cell>
          <cell r="G496">
            <v>3.1475976994673842</v>
          </cell>
          <cell r="H496">
            <v>3.8185844985630042</v>
          </cell>
          <cell r="I496">
            <v>3.818847952737721</v>
          </cell>
          <cell r="J496">
            <v>4.2657637804033888</v>
          </cell>
        </row>
        <row r="497">
          <cell r="A497" t="str">
            <v>RHNS-SHLFOBR</v>
          </cell>
          <cell r="B497" t="str">
            <v>VAR_fout</v>
          </cell>
          <cell r="C497" t="str">
            <v>CO2_R</v>
          </cell>
          <cell r="E497">
            <v>7.7465635740704003E-2</v>
          </cell>
          <cell r="F497">
            <v>1.59394189712735</v>
          </cell>
          <cell r="G497">
            <v>3.8875001872251098</v>
          </cell>
          <cell r="H497">
            <v>3.8568113294263799</v>
          </cell>
          <cell r="I497">
            <v>3.3760941398909998</v>
          </cell>
        </row>
        <row r="498">
          <cell r="A498" t="str">
            <v>RHNS-SHLFOBR</v>
          </cell>
          <cell r="B498" t="str">
            <v>VAR_fout</v>
          </cell>
          <cell r="C498" t="str">
            <v>RHNS-SHLFO</v>
          </cell>
          <cell r="E498">
            <v>9.4160513818698397E-4</v>
          </cell>
          <cell r="F498">
            <v>2.0532806506135266E-2</v>
          </cell>
          <cell r="G498">
            <v>5.0077916441442556E-2</v>
          </cell>
          <cell r="H498">
            <v>4.9682589371985712E-2</v>
          </cell>
          <cell r="I498">
            <v>4.3490097001534903E-2</v>
          </cell>
        </row>
        <row r="499">
          <cell r="A499" t="str">
            <v>RHNS-SHLFOBR</v>
          </cell>
          <cell r="B499" t="str">
            <v>VAR_fin</v>
          </cell>
          <cell r="C499" t="str">
            <v>RLFO</v>
          </cell>
          <cell r="E499">
            <v>1.0510941077436103E-3</v>
          </cell>
          <cell r="F499">
            <v>2.162743415369538E-2</v>
          </cell>
          <cell r="G499">
            <v>5.2747628049187346E-2</v>
          </cell>
          <cell r="H499">
            <v>5.2331225636721442E-2</v>
          </cell>
          <cell r="I499">
            <v>4.5808604340447749E-2</v>
          </cell>
        </row>
        <row r="500">
          <cell r="A500" t="str">
            <v>RHNS-SHLFOBR</v>
          </cell>
          <cell r="B500" t="str">
            <v>VAR_ncap</v>
          </cell>
          <cell r="C500" t="str">
            <v>-</v>
          </cell>
          <cell r="E500">
            <v>4.21906591254453E-4</v>
          </cell>
          <cell r="F500">
            <v>1.82830253757853E-2</v>
          </cell>
        </row>
        <row r="501">
          <cell r="A501" t="str">
            <v>RHNS-SHLFOBR</v>
          </cell>
          <cell r="B501" t="str">
            <v>VAR_cap</v>
          </cell>
          <cell r="C501" t="str">
            <v>-</v>
          </cell>
          <cell r="E501">
            <v>4.21906591254453E-4</v>
          </cell>
          <cell r="F501">
            <v>1.8635828165243416E-2</v>
          </cell>
          <cell r="G501">
            <v>1.8565873343792491E-2</v>
          </cell>
          <cell r="H501">
            <v>1.8401427438621144E-2</v>
          </cell>
          <cell r="I501">
            <v>3.2378981249848054E-3</v>
          </cell>
        </row>
        <row r="502">
          <cell r="A502" t="str">
            <v>D-SNGA</v>
          </cell>
          <cell r="B502" t="str">
            <v>VAR_fout</v>
          </cell>
          <cell r="C502" t="str">
            <v>CO2</v>
          </cell>
          <cell r="D502">
            <v>1537.95890866073</v>
          </cell>
          <cell r="E502">
            <v>1510.5078021797899</v>
          </cell>
          <cell r="F502">
            <v>1402.0948018409699</v>
          </cell>
          <cell r="G502">
            <v>1097.7432635274099</v>
          </cell>
          <cell r="H502">
            <v>834.86501578619198</v>
          </cell>
          <cell r="I502">
            <v>543.00896231093202</v>
          </cell>
          <cell r="J502">
            <v>263.70548510773102</v>
          </cell>
        </row>
        <row r="503">
          <cell r="A503" t="str">
            <v>D-SNGA</v>
          </cell>
          <cell r="B503" t="str">
            <v>VAR_fout</v>
          </cell>
          <cell r="C503" t="str">
            <v>SNGA</v>
          </cell>
          <cell r="D503">
            <v>27.481314450275502</v>
          </cell>
          <cell r="E503">
            <v>28.488462048411687</v>
          </cell>
          <cell r="F503">
            <v>25.513533100884118</v>
          </cell>
          <cell r="G503">
            <v>20.120063683144217</v>
          </cell>
          <cell r="H503">
            <v>15.462820983186859</v>
          </cell>
          <cell r="I503">
            <v>11.242040823696239</v>
          </cell>
          <cell r="J503">
            <v>7.2065225099801955</v>
          </cell>
        </row>
        <row r="504">
          <cell r="A504" t="str">
            <v>D-SNGA</v>
          </cell>
          <cell r="B504" t="str">
            <v>VAR_fout</v>
          </cell>
          <cell r="C504" t="str">
            <v>RSH2</v>
          </cell>
          <cell r="G504">
            <v>3.5615311531140288E-2</v>
          </cell>
          <cell r="H504">
            <v>3.0270575377137818E-2</v>
          </cell>
          <cell r="I504">
            <v>2.5125220766896123E-2</v>
          </cell>
          <cell r="J504">
            <v>1.5513765882720314E-2</v>
          </cell>
        </row>
        <row r="505">
          <cell r="A505" t="str">
            <v>D-SNGA</v>
          </cell>
          <cell r="B505" t="str">
            <v>VAR_fin</v>
          </cell>
          <cell r="C505" t="str">
            <v>NGA</v>
          </cell>
          <cell r="D505">
            <v>27.26877497625409</v>
          </cell>
          <cell r="E505">
            <v>26.782053230138036</v>
          </cell>
          <cell r="F505">
            <v>24.85983691207387</v>
          </cell>
          <cell r="G505">
            <v>19.46353304126616</v>
          </cell>
          <cell r="H505">
            <v>14.802571201882854</v>
          </cell>
          <cell r="I505">
            <v>9.62781848069028</v>
          </cell>
          <cell r="J505">
            <v>4.6756291685767861</v>
          </cell>
        </row>
        <row r="506">
          <cell r="A506" t="str">
            <v>D-SNGA</v>
          </cell>
          <cell r="B506" t="str">
            <v>VAR_fin</v>
          </cell>
          <cell r="C506" t="str">
            <v>BNGA</v>
          </cell>
          <cell r="D506">
            <v>0.30033181946995979</v>
          </cell>
          <cell r="E506">
            <v>1.7974186171672832</v>
          </cell>
          <cell r="F506">
            <v>0.73520222141499658</v>
          </cell>
          <cell r="G506">
            <v>0.72140289686061543</v>
          </cell>
          <cell r="H506">
            <v>0.70990859704857467</v>
          </cell>
          <cell r="I506">
            <v>1.6503659972371556</v>
          </cell>
          <cell r="J506">
            <v>2.5555947411727264</v>
          </cell>
        </row>
        <row r="507">
          <cell r="A507" t="str">
            <v>D-SNGA</v>
          </cell>
          <cell r="B507" t="str">
            <v>VAR_fin</v>
          </cell>
          <cell r="C507" t="str">
            <v>H2</v>
          </cell>
          <cell r="G507">
            <v>3.5588837948649373E-2</v>
          </cell>
          <cell r="H507">
            <v>3.0242251047196508E-2</v>
          </cell>
          <cell r="I507">
            <v>2.4998379325259446E-2</v>
          </cell>
          <cell r="J507">
            <v>1.5452002930860792E-2</v>
          </cell>
        </row>
        <row r="508">
          <cell r="A508" t="str">
            <v>D-SNGA</v>
          </cell>
          <cell r="B508" t="str">
            <v>VAR_ncap</v>
          </cell>
          <cell r="C508" t="str">
            <v>-</v>
          </cell>
          <cell r="D508">
            <v>2.2482027123936501E-4</v>
          </cell>
          <cell r="E508">
            <v>4.6381222786838498E-6</v>
          </cell>
          <cell r="F508">
            <v>7.6925504290318894E-6</v>
          </cell>
          <cell r="G508">
            <v>1.06650827800905E-5</v>
          </cell>
          <cell r="H508">
            <v>1.7687120010580299E-5</v>
          </cell>
          <cell r="I508">
            <v>1.5264873978039999E-5</v>
          </cell>
          <cell r="J508">
            <v>4.2695806898921401E-5</v>
          </cell>
        </row>
        <row r="509">
          <cell r="A509" t="str">
            <v>D-SNGA</v>
          </cell>
          <cell r="B509" t="str">
            <v>VAR_cap</v>
          </cell>
          <cell r="C509" t="str">
            <v>-</v>
          </cell>
          <cell r="D509">
            <v>2.2352770218963793</v>
          </cell>
          <cell r="E509">
            <v>2.235281660018658</v>
          </cell>
          <cell r="F509">
            <v>2.2352893525690871</v>
          </cell>
          <cell r="G509">
            <v>2.2353000176518671</v>
          </cell>
          <cell r="H509">
            <v>2.235317704771878</v>
          </cell>
          <cell r="I509">
            <v>2.2353329696458561</v>
          </cell>
          <cell r="J509">
            <v>1.1212139663164746</v>
          </cell>
        </row>
        <row r="510">
          <cell r="A510" t="str">
            <v>D-IPLT</v>
          </cell>
          <cell r="B510" t="str">
            <v>VAR_fout</v>
          </cell>
          <cell r="C510" t="str">
            <v>IPLT</v>
          </cell>
          <cell r="D510">
            <v>0.62589701661237407</v>
          </cell>
          <cell r="E510">
            <v>0.73762225764574341</v>
          </cell>
          <cell r="F510">
            <v>0.77787246306873914</v>
          </cell>
          <cell r="G510">
            <v>0.80006448650634476</v>
          </cell>
          <cell r="H510">
            <v>0.7986271678501381</v>
          </cell>
          <cell r="I510">
            <v>0.79716085850232588</v>
          </cell>
          <cell r="J510">
            <v>0.79392216964138729</v>
          </cell>
        </row>
        <row r="511">
          <cell r="A511" t="str">
            <v>D-IPLT</v>
          </cell>
          <cell r="B511" t="str">
            <v>VAR_fin</v>
          </cell>
          <cell r="C511" t="str">
            <v>PLT</v>
          </cell>
          <cell r="D511">
            <v>0.62589701661237407</v>
          </cell>
          <cell r="E511">
            <v>0.73762225764574341</v>
          </cell>
          <cell r="F511">
            <v>0.77787246306873914</v>
          </cell>
          <cell r="G511">
            <v>0.80006448650634476</v>
          </cell>
          <cell r="H511">
            <v>0.7986271678501381</v>
          </cell>
          <cell r="I511">
            <v>0.79716085850232588</v>
          </cell>
          <cell r="J511">
            <v>0.79392216964138729</v>
          </cell>
        </row>
        <row r="512">
          <cell r="A512" t="str">
            <v>ITOT-SWHWODBR</v>
          </cell>
          <cell r="B512" t="str">
            <v>VAR_fout</v>
          </cell>
          <cell r="C512" t="str">
            <v>ITOT-SWH</v>
          </cell>
          <cell r="D512">
            <v>5.3112538801372393</v>
          </cell>
          <cell r="E512">
            <v>6.2669954666482779</v>
          </cell>
          <cell r="F512">
            <v>6.0030768912076287</v>
          </cell>
          <cell r="G512">
            <v>7.0120500285676695</v>
          </cell>
          <cell r="H512">
            <v>7.6582379230636395</v>
          </cell>
          <cell r="I512">
            <v>6.7670850795876563</v>
          </cell>
          <cell r="J512">
            <v>8.484130257370472</v>
          </cell>
        </row>
        <row r="513">
          <cell r="A513" t="str">
            <v>ITOT-SWHWODBR</v>
          </cell>
          <cell r="B513" t="str">
            <v>VAR_fin</v>
          </cell>
          <cell r="C513" t="str">
            <v>IWOD</v>
          </cell>
          <cell r="D513">
            <v>9.0021252205715907</v>
          </cell>
          <cell r="E513">
            <v>10.610037471752165</v>
          </cell>
          <cell r="F513">
            <v>10.146045449928391</v>
          </cell>
          <cell r="G513">
            <v>11.818061845900582</v>
          </cell>
          <cell r="H513">
            <v>12.870988105989328</v>
          </cell>
          <cell r="I513">
            <v>11.341483373610588</v>
          </cell>
          <cell r="J513">
            <v>14.14021709561745</v>
          </cell>
        </row>
        <row r="514">
          <cell r="A514" t="str">
            <v>ITOT-SWHWODBR</v>
          </cell>
          <cell r="B514" t="str">
            <v>VAR_fin</v>
          </cell>
          <cell r="C514" t="str">
            <v>ITOTWODBRC</v>
          </cell>
          <cell r="D514">
            <v>5.3112538801372393</v>
          </cell>
          <cell r="E514">
            <v>6.2669954666482779</v>
          </cell>
          <cell r="F514">
            <v>6.0030768912076287</v>
          </cell>
          <cell r="G514">
            <v>7.0120500285676695</v>
          </cell>
          <cell r="H514">
            <v>7.6582379230636395</v>
          </cell>
          <cell r="I514">
            <v>6.7670850795876563</v>
          </cell>
          <cell r="J514">
            <v>8.484130257370472</v>
          </cell>
        </row>
        <row r="515">
          <cell r="A515" t="str">
            <v>ITOT-SWHWODBR</v>
          </cell>
          <cell r="B515" t="str">
            <v>VAR_ncap</v>
          </cell>
          <cell r="C515" t="str">
            <v>-</v>
          </cell>
          <cell r="E515">
            <v>6.3610202414609796E-2</v>
          </cell>
          <cell r="F515">
            <v>8.6345801411765594E-3</v>
          </cell>
          <cell r="G515">
            <v>3.6145781269546699E-2</v>
          </cell>
          <cell r="H515">
            <v>0.29106203885725301</v>
          </cell>
          <cell r="I515">
            <v>0.168280457123475</v>
          </cell>
          <cell r="J515">
            <v>0.332192328463149</v>
          </cell>
        </row>
        <row r="516">
          <cell r="A516" t="str">
            <v>ITOT-SWHWODBR</v>
          </cell>
          <cell r="B516" t="str">
            <v>VAR_cap</v>
          </cell>
          <cell r="C516" t="str">
            <v>-</v>
          </cell>
          <cell r="D516">
            <v>0.28883369534761499</v>
          </cell>
          <cell r="E516">
            <v>0.35240362414318316</v>
          </cell>
          <cell r="F516">
            <v>0.36089397121930999</v>
          </cell>
          <cell r="G516">
            <v>0.39678254150031977</v>
          </cell>
          <cell r="H516">
            <v>0.44235244097533616</v>
          </cell>
          <cell r="I516">
            <v>0.48425973877798723</v>
          </cell>
          <cell r="J516">
            <v>0.57647280824812142</v>
          </cell>
        </row>
        <row r="517">
          <cell r="A517" t="str">
            <v>D-ITOT_KEV_WOD_ELC_CHP</v>
          </cell>
          <cell r="B517" t="str">
            <v>VAR_fout</v>
          </cell>
          <cell r="C517" t="str">
            <v>ITOT_ELC</v>
          </cell>
          <cell r="D517">
            <v>6.2673416649148784E-3</v>
          </cell>
          <cell r="E517">
            <v>2.8442071696948693E-3</v>
          </cell>
          <cell r="F517">
            <v>5.0070988156953478E-3</v>
          </cell>
          <cell r="G517">
            <v>3.6224152471173422E-2</v>
          </cell>
          <cell r="H517">
            <v>3.1431030619815212</v>
          </cell>
          <cell r="I517">
            <v>3.4430835574100787</v>
          </cell>
          <cell r="J517">
            <v>3.6931682317537868</v>
          </cell>
        </row>
        <row r="518">
          <cell r="A518" t="str">
            <v>D-ITOT_KEV_WOD_ELC_CHP</v>
          </cell>
          <cell r="B518" t="str">
            <v>VAR_fout</v>
          </cell>
          <cell r="C518" t="str">
            <v>ELC5</v>
          </cell>
          <cell r="D518">
            <v>0.16629373064756386</v>
          </cell>
          <cell r="E518">
            <v>0.39983733655994019</v>
          </cell>
          <cell r="F518">
            <v>1.2457857110923618</v>
          </cell>
          <cell r="G518">
            <v>2.5077545963339007</v>
          </cell>
          <cell r="H518">
            <v>4.935878322346731E-2</v>
          </cell>
          <cell r="I518">
            <v>9.6969685513216386E-2</v>
          </cell>
          <cell r="J518">
            <v>8.5255368856456529E-2</v>
          </cell>
        </row>
        <row r="519">
          <cell r="A519" t="str">
            <v>D-ITOT_KEV_WOD_ELC_CHP</v>
          </cell>
          <cell r="B519" t="str">
            <v>VAR_fin</v>
          </cell>
          <cell r="C519" t="str">
            <v>ITOT_KEV_WOD_ELC_CHP</v>
          </cell>
          <cell r="D519">
            <v>0.17256107231247877</v>
          </cell>
          <cell r="E519">
            <v>0.40268154372963511</v>
          </cell>
          <cell r="F519">
            <v>1.2506960614241154</v>
          </cell>
          <cell r="G519">
            <v>2.5438574257938686</v>
          </cell>
          <cell r="H519">
            <v>3.1921791826513326</v>
          </cell>
          <cell r="I519">
            <v>3.5400532429232965</v>
          </cell>
          <cell r="J519">
            <v>3.7784236006102443</v>
          </cell>
        </row>
        <row r="520">
          <cell r="A520" t="str">
            <v>RHEM-SHSTG-SOL</v>
          </cell>
          <cell r="B520" t="str">
            <v>VAR_fout</v>
          </cell>
          <cell r="C520" t="str">
            <v>RHEM-SHASOL</v>
          </cell>
          <cell r="D520">
            <v>7.3358778608247646E-2</v>
          </cell>
          <cell r="E520">
            <v>7.1651632838766605E-2</v>
          </cell>
          <cell r="F520">
            <v>4.0168038328676397E-3</v>
          </cell>
          <cell r="G520">
            <v>4.8790332629257537E-3</v>
          </cell>
          <cell r="H520">
            <v>5.2731862580895307E-3</v>
          </cell>
          <cell r="I520">
            <v>2.7979259442723688E-3</v>
          </cell>
          <cell r="J520">
            <v>2.2363758794890017E-3</v>
          </cell>
        </row>
        <row r="521">
          <cell r="A521" t="str">
            <v>RHEM-SHSTG-SOL</v>
          </cell>
          <cell r="B521" t="str">
            <v>VAR_fout</v>
          </cell>
          <cell r="C521" t="str">
            <v>AUX_RHEM-SHSTG-SOL_OUT</v>
          </cell>
          <cell r="D521">
            <v>7.3432137386855889E-2</v>
          </cell>
          <cell r="E521">
            <v>7.1723284471605406E-2</v>
          </cell>
          <cell r="F521">
            <v>4.020820636700507E-3</v>
          </cell>
          <cell r="G521">
            <v>4.8839122961886767E-3</v>
          </cell>
          <cell r="H521">
            <v>5.2784594443476178E-3</v>
          </cell>
          <cell r="I521">
            <v>2.8007238702166411E-3</v>
          </cell>
          <cell r="J521">
            <v>2.2386122553684912E-3</v>
          </cell>
        </row>
        <row r="522">
          <cell r="A522" t="str">
            <v>RHEM-SHSTG-SOL</v>
          </cell>
          <cell r="B522" t="str">
            <v>VAR_fin</v>
          </cell>
          <cell r="C522" t="str">
            <v>RHEM-SHASOL</v>
          </cell>
          <cell r="D522">
            <v>7.3303840375356477E-2</v>
          </cell>
          <cell r="E522">
            <v>7.1716549509488664E-2</v>
          </cell>
          <cell r="F522">
            <v>4.0833570583077598E-3</v>
          </cell>
          <cell r="G522">
            <v>4.834118927711289E-3</v>
          </cell>
          <cell r="H522">
            <v>5.2441828715908021E-3</v>
          </cell>
          <cell r="I522">
            <v>2.7640561704652799E-3</v>
          </cell>
          <cell r="J522">
            <v>2.1896486772240843E-3</v>
          </cell>
        </row>
        <row r="523">
          <cell r="A523" t="str">
            <v>RHEM-SHSTG-SOL</v>
          </cell>
          <cell r="B523" t="str">
            <v>VAR_ncap</v>
          </cell>
          <cell r="C523" t="str">
            <v>-</v>
          </cell>
          <cell r="D523">
            <v>1.6181552253836599E-2</v>
          </cell>
          <cell r="E523">
            <v>3.0049600915361799E-5</v>
          </cell>
          <cell r="F523">
            <v>8.4973358765617608E-6</v>
          </cell>
          <cell r="G523">
            <v>1.23656313795439E-5</v>
          </cell>
          <cell r="H523">
            <v>5.5148575142697403E-4</v>
          </cell>
          <cell r="I523">
            <v>3.2167499352868698E-4</v>
          </cell>
          <cell r="J523">
            <v>2.08923171587215E-4</v>
          </cell>
        </row>
        <row r="524">
          <cell r="A524" t="str">
            <v>RHEM-SHSTG-SOL</v>
          </cell>
          <cell r="B524" t="str">
            <v>VAR_cap</v>
          </cell>
          <cell r="C524" t="str">
            <v>-</v>
          </cell>
          <cell r="D524">
            <v>1.6181552253836599E-2</v>
          </cell>
          <cell r="E524">
            <v>1.6211601854752001E-2</v>
          </cell>
          <cell r="F524">
            <v>1.6220099190628601E-2</v>
          </cell>
          <cell r="G524">
            <v>1.6232464822008099E-2</v>
          </cell>
          <cell r="H524">
            <v>4.7841794585559002E-3</v>
          </cell>
          <cell r="I524">
            <v>8.8311136637119099E-4</v>
          </cell>
          <cell r="J524">
            <v>6.7564902132919195E-4</v>
          </cell>
        </row>
        <row r="525">
          <cell r="A525" t="str">
            <v>ITOT-SWHCONBR10</v>
          </cell>
          <cell r="B525" t="str">
            <v>VAR_fout</v>
          </cell>
          <cell r="C525" t="str">
            <v>ITOT-ELS</v>
          </cell>
          <cell r="J525">
            <v>4.2186310097517497E-4</v>
          </cell>
        </row>
        <row r="526">
          <cell r="A526" t="str">
            <v>ITOT-SWHCONBR10</v>
          </cell>
          <cell r="B526" t="str">
            <v>VAR_fout</v>
          </cell>
          <cell r="C526" t="str">
            <v>ITOT-SWHC</v>
          </cell>
          <cell r="J526">
            <v>2.5978769294049413E-3</v>
          </cell>
        </row>
        <row r="527">
          <cell r="A527" t="str">
            <v>ITOT-SWHCONBR10</v>
          </cell>
          <cell r="B527" t="str">
            <v>VAR_fin</v>
          </cell>
          <cell r="C527" t="str">
            <v>CON</v>
          </cell>
          <cell r="J527">
            <v>3.0197400303801167E-3</v>
          </cell>
        </row>
        <row r="528">
          <cell r="A528" t="str">
            <v>ITOT-SWHCONBR10</v>
          </cell>
          <cell r="B528" t="str">
            <v>VAR_ncap</v>
          </cell>
          <cell r="C528" t="str">
            <v>-</v>
          </cell>
          <cell r="J528">
            <v>1.49912523759921E-4</v>
          </cell>
        </row>
        <row r="529">
          <cell r="A529" t="str">
            <v>ITOT-SWHCONBR10</v>
          </cell>
          <cell r="B529" t="str">
            <v>VAR_cap</v>
          </cell>
          <cell r="C529" t="str">
            <v>-</v>
          </cell>
          <cell r="J529">
            <v>1.49912523759921E-4</v>
          </cell>
        </row>
        <row r="530">
          <cell r="A530" t="str">
            <v>SCOM-SHSTG</v>
          </cell>
          <cell r="B530" t="str">
            <v>VAR_fout</v>
          </cell>
          <cell r="C530" t="str">
            <v>AUX_SCOM-SHSTG_OUT</v>
          </cell>
          <cell r="D530">
            <v>1.3468601258959307E-4</v>
          </cell>
          <cell r="E530">
            <v>4.8544006715481366E-3</v>
          </cell>
          <cell r="F530">
            <v>5.7418905256883244E-4</v>
          </cell>
          <cell r="G530">
            <v>7.1381415167526415E-4</v>
          </cell>
          <cell r="H530">
            <v>6.9085422402984651E-4</v>
          </cell>
          <cell r="I530">
            <v>9.3983094000528304E-4</v>
          </cell>
          <cell r="J530">
            <v>1.8537358179393677E-2</v>
          </cell>
        </row>
        <row r="531">
          <cell r="A531" t="str">
            <v>SCOM-SHSTG</v>
          </cell>
          <cell r="B531" t="str">
            <v>VAR_fout</v>
          </cell>
          <cell r="C531" t="str">
            <v>SCOM-SHD</v>
          </cell>
          <cell r="D531">
            <v>1.346860125895932E-4</v>
          </cell>
          <cell r="E531">
            <v>4.8583685086232313E-3</v>
          </cell>
          <cell r="F531">
            <v>5.7492237192077137E-4</v>
          </cell>
          <cell r="G531">
            <v>7.1381415167526339E-4</v>
          </cell>
          <cell r="H531">
            <v>6.916226936895017E-4</v>
          </cell>
          <cell r="I531">
            <v>9.3983094000528217E-4</v>
          </cell>
          <cell r="J531">
            <v>1.8537358179393677E-2</v>
          </cell>
        </row>
        <row r="532">
          <cell r="A532" t="str">
            <v>SCOM-SHSTG</v>
          </cell>
          <cell r="B532" t="str">
            <v>VAR_fin</v>
          </cell>
          <cell r="C532" t="str">
            <v>AUX_SCOM-SHSTG_IN</v>
          </cell>
          <cell r="D532">
            <v>1.7448724083704329E-4</v>
          </cell>
          <cell r="E532">
            <v>5.9262266494832351E-3</v>
          </cell>
          <cell r="F532">
            <v>6.9722365153489132E-4</v>
          </cell>
          <cell r="G532">
            <v>8.3309038923841438E-4</v>
          </cell>
          <cell r="H532">
            <v>7.8133192954144026E-4</v>
          </cell>
          <cell r="I532">
            <v>1.0218146917776541E-3</v>
          </cell>
          <cell r="J532">
            <v>1.8729622734553523E-2</v>
          </cell>
        </row>
        <row r="533">
          <cell r="A533" t="str">
            <v>SCOM-SHSTG</v>
          </cell>
          <cell r="B533" t="str">
            <v>VAR_fin</v>
          </cell>
          <cell r="C533" t="str">
            <v>SCOM-SHD</v>
          </cell>
          <cell r="D533">
            <v>1.7448724083704329E-4</v>
          </cell>
          <cell r="E533">
            <v>5.9262266494832351E-3</v>
          </cell>
          <cell r="F533">
            <v>6.9722365153489132E-4</v>
          </cell>
          <cell r="G533">
            <v>8.3309038923841438E-4</v>
          </cell>
          <cell r="H533">
            <v>7.8133192954144026E-4</v>
          </cell>
          <cell r="I533">
            <v>1.0218146917776541E-3</v>
          </cell>
          <cell r="J533">
            <v>1.8729622734553523E-2</v>
          </cell>
        </row>
        <row r="534">
          <cell r="A534" t="str">
            <v>SCOM-SHSTG</v>
          </cell>
          <cell r="B534" t="str">
            <v>VAR_ncap</v>
          </cell>
          <cell r="C534" t="str">
            <v>-</v>
          </cell>
          <cell r="D534">
            <v>1.33248931117781E-2</v>
          </cell>
          <cell r="E534">
            <v>1.5572748886636201E-4</v>
          </cell>
          <cell r="F534">
            <v>1.17371199544797E-4</v>
          </cell>
          <cell r="G534">
            <v>6.8013144059739006E-5</v>
          </cell>
          <cell r="H534">
            <v>3.3123262884855401E-3</v>
          </cell>
          <cell r="I534">
            <v>6.57501044140357E-3</v>
          </cell>
          <cell r="J534">
            <v>8.3222479821614802E-3</v>
          </cell>
        </row>
        <row r="535">
          <cell r="A535" t="str">
            <v>SCOM-SHSTG</v>
          </cell>
          <cell r="B535" t="str">
            <v>VAR_cap</v>
          </cell>
          <cell r="C535" t="str">
            <v>-</v>
          </cell>
          <cell r="D535">
            <v>1.33248931117781E-2</v>
          </cell>
          <cell r="E535">
            <v>1.345150005864237E-2</v>
          </cell>
          <cell r="F535">
            <v>1.3528126415882843E-2</v>
          </cell>
          <cell r="G535">
            <v>1.3557655057239298E-2</v>
          </cell>
          <cell r="H535">
            <v>1.6764899143774683E-2</v>
          </cell>
          <cell r="I535">
            <v>1.4579100808731852E-2</v>
          </cell>
          <cell r="J535">
            <v>1.7428849467481775E-2</v>
          </cell>
        </row>
        <row r="536">
          <cell r="A536" t="str">
            <v>D-ITOT_KEV_HFC_ELC_CHP</v>
          </cell>
          <cell r="B536" t="str">
            <v>VAR_fout</v>
          </cell>
          <cell r="C536" t="str">
            <v>ITOT_ELC</v>
          </cell>
          <cell r="H536">
            <v>8.4766957663823264E-2</v>
          </cell>
          <cell r="I536">
            <v>0.14481993369140833</v>
          </cell>
          <cell r="J536">
            <v>0.28129284409111549</v>
          </cell>
        </row>
        <row r="537">
          <cell r="A537" t="str">
            <v>D-ITOT_KEV_HFC_ELC_CHP</v>
          </cell>
          <cell r="B537" t="str">
            <v>VAR_fout</v>
          </cell>
          <cell r="C537" t="str">
            <v>ELC5</v>
          </cell>
          <cell r="H537">
            <v>3.1392711046667209E-2</v>
          </cell>
          <cell r="I537">
            <v>4.698849582995674E-2</v>
          </cell>
          <cell r="J537">
            <v>4.9655981650027714E-2</v>
          </cell>
        </row>
        <row r="538">
          <cell r="A538" t="str">
            <v>D-ITOT_KEV_HFC_ELC_CHP</v>
          </cell>
          <cell r="B538" t="str">
            <v>VAR_fin</v>
          </cell>
          <cell r="C538" t="str">
            <v>ITOT_KEV_HFC_ELC_CHP</v>
          </cell>
          <cell r="H538">
            <v>0.11586558891853782</v>
          </cell>
          <cell r="I538">
            <v>0.19162504496075325</v>
          </cell>
          <cell r="J538">
            <v>0.33081662603719197</v>
          </cell>
        </row>
        <row r="539">
          <cell r="A539" t="str">
            <v>D-RNGA</v>
          </cell>
          <cell r="B539" t="str">
            <v>VAR_fout</v>
          </cell>
          <cell r="C539" t="str">
            <v>CO2</v>
          </cell>
          <cell r="D539">
            <v>2686.29232035222</v>
          </cell>
          <cell r="E539">
            <v>2605.0618149319198</v>
          </cell>
          <cell r="F539">
            <v>2636.0764012387099</v>
          </cell>
          <cell r="G539">
            <v>2157.9838635814299</v>
          </cell>
          <cell r="H539">
            <v>1659.4374674758701</v>
          </cell>
          <cell r="I539">
            <v>1057.6162876262599</v>
          </cell>
          <cell r="J539">
            <v>635.81364064013098</v>
          </cell>
        </row>
        <row r="540">
          <cell r="A540" t="str">
            <v>D-RNGA</v>
          </cell>
          <cell r="B540" t="str">
            <v>VAR_fout</v>
          </cell>
          <cell r="C540" t="str">
            <v>RNGA</v>
          </cell>
          <cell r="D540">
            <v>47.78066398916684</v>
          </cell>
          <cell r="E540">
            <v>48.283682865512411</v>
          </cell>
          <cell r="F540">
            <v>47.460370951729558</v>
          </cell>
          <cell r="G540">
            <v>39.099934607424856</v>
          </cell>
          <cell r="H540">
            <v>30.301154190359281</v>
          </cell>
          <cell r="I540">
            <v>21.806504233273397</v>
          </cell>
          <cell r="J540">
            <v>14.838894287435116</v>
          </cell>
        </row>
        <row r="541">
          <cell r="A541" t="str">
            <v>D-RNGA</v>
          </cell>
          <cell r="B541" t="str">
            <v>VAR_fout</v>
          </cell>
          <cell r="C541" t="str">
            <v>RSH2</v>
          </cell>
          <cell r="G541">
            <v>4.2346506482894543E-2</v>
          </cell>
          <cell r="H541">
            <v>4.4403568076779552E-2</v>
          </cell>
          <cell r="I541">
            <v>5.4321789831727821E-2</v>
          </cell>
          <cell r="J541">
            <v>3.6990610505636727E-2</v>
          </cell>
        </row>
        <row r="542">
          <cell r="A542" t="str">
            <v>D-RNGA</v>
          </cell>
          <cell r="B542" t="str">
            <v>VAR_fin</v>
          </cell>
          <cell r="C542" t="str">
            <v>NGA</v>
          </cell>
          <cell r="D542">
            <v>47.629296460145738</v>
          </cell>
          <cell r="E542">
            <v>46.18903927184266</v>
          </cell>
          <cell r="F542">
            <v>46.738943284374216</v>
          </cell>
          <cell r="G542">
            <v>38.262125240805588</v>
          </cell>
          <cell r="H542">
            <v>29.42265013255092</v>
          </cell>
          <cell r="I542">
            <v>18.752061837345039</v>
          </cell>
          <cell r="J542">
            <v>11.273291500711549</v>
          </cell>
        </row>
        <row r="543">
          <cell r="A543" t="str">
            <v>D-RNGA</v>
          </cell>
          <cell r="B543" t="str">
            <v>VAR_fin</v>
          </cell>
          <cell r="C543" t="str">
            <v>BNGA</v>
          </cell>
          <cell r="D543">
            <v>0.30400857413150201</v>
          </cell>
          <cell r="E543">
            <v>2.2488915927357054</v>
          </cell>
          <cell r="F543">
            <v>0.87304549805444343</v>
          </cell>
          <cell r="G543">
            <v>0.96348454954207119</v>
          </cell>
          <cell r="H543">
            <v>0.97572603226075039</v>
          </cell>
          <cell r="I543">
            <v>3.1245230681570666</v>
          </cell>
          <cell r="J543">
            <v>3.6148515378167376</v>
          </cell>
        </row>
        <row r="544">
          <cell r="A544" t="str">
            <v>D-RNGA</v>
          </cell>
          <cell r="B544" t="str">
            <v>VAR_fin</v>
          </cell>
          <cell r="C544" t="str">
            <v>H2</v>
          </cell>
          <cell r="G544">
            <v>4.232757097861288E-2</v>
          </cell>
          <cell r="H544">
            <v>4.437524374684168E-2</v>
          </cell>
          <cell r="I544">
            <v>5.4296772153765625E-2</v>
          </cell>
          <cell r="J544">
            <v>3.6939966380338522E-2</v>
          </cell>
        </row>
        <row r="545">
          <cell r="A545" t="str">
            <v>D-RNGA</v>
          </cell>
          <cell r="B545" t="str">
            <v>VAR_ncap</v>
          </cell>
          <cell r="C545" t="str">
            <v>-</v>
          </cell>
          <cell r="D545">
            <v>1.4108689698768901E-5</v>
          </cell>
          <cell r="E545">
            <v>2.00863194670824E-6</v>
          </cell>
          <cell r="F545">
            <v>2.4428176174718799E-6</v>
          </cell>
          <cell r="G545">
            <v>2.0258802884127202E-6</v>
          </cell>
          <cell r="H545">
            <v>3.2806967102163999E-6</v>
          </cell>
          <cell r="I545">
            <v>4.0993302161479303E-6</v>
          </cell>
          <cell r="J545">
            <v>7.0078713760835503E-6</v>
          </cell>
        </row>
        <row r="546">
          <cell r="A546" t="str">
            <v>D-RNGA</v>
          </cell>
          <cell r="B546" t="str">
            <v>VAR_cap</v>
          </cell>
          <cell r="C546" t="str">
            <v>-</v>
          </cell>
          <cell r="D546">
            <v>3.0972541160856188</v>
          </cell>
          <cell r="E546">
            <v>3.0972561247175654</v>
          </cell>
          <cell r="F546">
            <v>3.0972585675351829</v>
          </cell>
          <cell r="G546">
            <v>3.0972605934154713</v>
          </cell>
          <cell r="H546">
            <v>3.0972638741121816</v>
          </cell>
          <cell r="I546">
            <v>3.0972679734423978</v>
          </cell>
          <cell r="J546">
            <v>1.5533172219540738</v>
          </cell>
        </row>
        <row r="547">
          <cell r="A547" t="str">
            <v>RHNS-SHLTHCHPNGA</v>
          </cell>
          <cell r="B547" t="str">
            <v>VAR_fout</v>
          </cell>
          <cell r="C547" t="str">
            <v>RHNS-SHLTHC-NGA</v>
          </cell>
          <cell r="E547">
            <v>1.0432844538870549E-3</v>
          </cell>
        </row>
        <row r="548">
          <cell r="A548" t="str">
            <v>RHNS-SHLTHCHPNGA</v>
          </cell>
          <cell r="B548" t="str">
            <v>VAR_fin</v>
          </cell>
          <cell r="C548" t="str">
            <v>RHNSLTHCHPC</v>
          </cell>
          <cell r="E548">
            <v>1.0432844538870549E-3</v>
          </cell>
        </row>
        <row r="549">
          <cell r="A549" t="str">
            <v>RHNS-SHLTHCHPNGA</v>
          </cell>
          <cell r="B549" t="str">
            <v>VAR_fin</v>
          </cell>
          <cell r="C549" t="str">
            <v>RHNS_LTH_CHPNGA_ON</v>
          </cell>
          <cell r="E549">
            <v>1.0538226806939947E-3</v>
          </cell>
        </row>
        <row r="550">
          <cell r="A550" t="str">
            <v>RHNS-SHLTHCHPNGA</v>
          </cell>
          <cell r="B550" t="str">
            <v>VAR_ncap</v>
          </cell>
          <cell r="C550" t="str">
            <v>-</v>
          </cell>
          <cell r="E550">
            <v>1.94889264499576E-3</v>
          </cell>
          <cell r="F550">
            <v>1.05439635500703E-3</v>
          </cell>
          <cell r="G550">
            <v>8.7430249991572999E-4</v>
          </cell>
          <cell r="H550">
            <v>8.7442459672771396E-4</v>
          </cell>
          <cell r="I550">
            <v>3.5832630506975598E-4</v>
          </cell>
          <cell r="J550">
            <v>4.0879408892961602E-7</v>
          </cell>
        </row>
        <row r="551">
          <cell r="A551" t="str">
            <v>RHNS-SHLTHCHPNGA</v>
          </cell>
          <cell r="B551" t="str">
            <v>VAR_cap</v>
          </cell>
          <cell r="C551" t="str">
            <v>-</v>
          </cell>
          <cell r="E551">
            <v>1.94889264499576E-3</v>
          </cell>
          <cell r="F551">
            <v>1.6201274021867499E-3</v>
          </cell>
          <cell r="G551">
            <v>1.6019909016998699E-3</v>
          </cell>
          <cell r="H551">
            <v>1.5483914432104203E-3</v>
          </cell>
          <cell r="I551">
            <v>7.1167049510542017E-4</v>
          </cell>
        </row>
        <row r="552">
          <cell r="A552" t="str">
            <v>D-SCOM_KEV_BIO_ELC_CHP</v>
          </cell>
          <cell r="B552" t="str">
            <v>VAR_fout</v>
          </cell>
          <cell r="C552" t="str">
            <v>ELC5</v>
          </cell>
          <cell r="D552">
            <v>0.95521458984704222</v>
          </cell>
          <cell r="E552">
            <v>1.1046727851534146</v>
          </cell>
          <cell r="F552">
            <v>1.1041945912745086</v>
          </cell>
          <cell r="G552">
            <v>1.0980520890224295</v>
          </cell>
          <cell r="H552">
            <v>2.009172817189122E-2</v>
          </cell>
          <cell r="I552">
            <v>1.9127998059814147E-2</v>
          </cell>
          <cell r="J552">
            <v>1.2003225798815107E-2</v>
          </cell>
        </row>
        <row r="553">
          <cell r="A553" t="str">
            <v>D-SCOM_KEV_BIO_ELC_CHP</v>
          </cell>
          <cell r="B553" t="str">
            <v>VAR_fout</v>
          </cell>
          <cell r="C553" t="str">
            <v>SCOM_ELC</v>
          </cell>
          <cell r="D553">
            <v>4.2250166473882583E-3</v>
          </cell>
          <cell r="E553">
            <v>1.7629779982819152E-3</v>
          </cell>
          <cell r="F553">
            <v>2.2576924288426723E-3</v>
          </cell>
          <cell r="G553">
            <v>8.865960914429389E-3</v>
          </cell>
          <cell r="H553">
            <v>1.0881831121418779</v>
          </cell>
          <cell r="I553">
            <v>1.0890644954394417</v>
          </cell>
          <cell r="J553">
            <v>1.0961235073803794</v>
          </cell>
        </row>
        <row r="554">
          <cell r="A554" t="str">
            <v>D-SCOM_KEV_BIO_ELC_CHP</v>
          </cell>
          <cell r="B554" t="str">
            <v>VAR_fin</v>
          </cell>
          <cell r="C554" t="str">
            <v>SCOM_KEV_BIO_ELC_CHP</v>
          </cell>
          <cell r="D554">
            <v>0.95943960649442961</v>
          </cell>
          <cell r="E554">
            <v>1.1064357631516968</v>
          </cell>
          <cell r="F554">
            <v>1.1064075775951663</v>
          </cell>
          <cell r="G554">
            <v>1.1068242607460734</v>
          </cell>
          <cell r="H554">
            <v>1.1080079178808893</v>
          </cell>
          <cell r="I554">
            <v>1.107972605468118</v>
          </cell>
          <cell r="J554">
            <v>1.1079584862615972</v>
          </cell>
        </row>
        <row r="555">
          <cell r="A555" t="str">
            <v>RHES-SHLTHCHPWOD</v>
          </cell>
          <cell r="B555" t="str">
            <v>VAR_ncap</v>
          </cell>
          <cell r="C555" t="str">
            <v>-</v>
          </cell>
          <cell r="G555">
            <v>1.11414931634813E-4</v>
          </cell>
          <cell r="H555">
            <v>1.7166090516491499E-4</v>
          </cell>
          <cell r="I555">
            <v>1.05567842092404E-4</v>
          </cell>
          <cell r="J555">
            <v>5.4562236325062699E-5</v>
          </cell>
        </row>
        <row r="556">
          <cell r="A556" t="str">
            <v>RHES-SHLTHCHPWOD</v>
          </cell>
          <cell r="B556" t="str">
            <v>VAR_cap</v>
          </cell>
          <cell r="C556" t="str">
            <v>-</v>
          </cell>
          <cell r="G556">
            <v>1.11414931634813E-4</v>
          </cell>
          <cell r="H556">
            <v>2.247487853415233E-4</v>
          </cell>
          <cell r="I556">
            <v>1.9114705580800399E-4</v>
          </cell>
          <cell r="J556">
            <v>9.3004727702033986E-5</v>
          </cell>
        </row>
        <row r="557">
          <cell r="A557" t="str">
            <v>RHES-SHSTG-NGAHP</v>
          </cell>
          <cell r="B557" t="str">
            <v>VAR_fout</v>
          </cell>
          <cell r="C557" t="str">
            <v>RHES-SHANGAH</v>
          </cell>
          <cell r="F557">
            <v>0.13749490702781686</v>
          </cell>
          <cell r="G557">
            <v>0.53451817473659646</v>
          </cell>
          <cell r="H557">
            <v>0.47227537573571809</v>
          </cell>
          <cell r="I557">
            <v>0.64099887601412464</v>
          </cell>
          <cell r="J557">
            <v>0.60084871690936692</v>
          </cell>
        </row>
        <row r="558">
          <cell r="A558" t="str">
            <v>RHES-SHSTG-NGAHP</v>
          </cell>
          <cell r="B558" t="str">
            <v>VAR_fout</v>
          </cell>
          <cell r="C558" t="str">
            <v>AUX_RHES-SHSTG-NGAHP_OUT</v>
          </cell>
          <cell r="F558">
            <v>0.13763240193484463</v>
          </cell>
          <cell r="G558">
            <v>0.53505269291133306</v>
          </cell>
          <cell r="H558">
            <v>0.47274765111145378</v>
          </cell>
          <cell r="I558">
            <v>0.64163987489013885</v>
          </cell>
          <cell r="J558">
            <v>0.60144956562627561</v>
          </cell>
        </row>
        <row r="559">
          <cell r="A559" t="str">
            <v>RHES-SHSTG-NGAHP</v>
          </cell>
          <cell r="B559" t="str">
            <v>VAR_fin</v>
          </cell>
          <cell r="C559" t="str">
            <v>RHES-SHANGAH</v>
          </cell>
          <cell r="F559">
            <v>0.13795136941662139</v>
          </cell>
          <cell r="G559">
            <v>0.5349045834894306</v>
          </cell>
          <cell r="H559">
            <v>0.47259895897509263</v>
          </cell>
          <cell r="I559">
            <v>0.64117705591333651</v>
          </cell>
          <cell r="J559">
            <v>0.60109351821868451</v>
          </cell>
        </row>
        <row r="560">
          <cell r="A560" t="str">
            <v>RHES-SHSTG-NGAHP</v>
          </cell>
          <cell r="B560" t="str">
            <v>VAR_ncap</v>
          </cell>
          <cell r="C560" t="str">
            <v>-</v>
          </cell>
          <cell r="D560">
            <v>1.79639506250459E-4</v>
          </cell>
          <cell r="E560">
            <v>1.8630445384515E-4</v>
          </cell>
          <cell r="F560">
            <v>3.2441775169316803E-2</v>
          </cell>
          <cell r="G560">
            <v>4.6358224183501898E-2</v>
          </cell>
          <cell r="H560">
            <v>1.5960771867157102E-2</v>
          </cell>
          <cell r="I560">
            <v>5.7197127410870602E-2</v>
          </cell>
          <cell r="J560">
            <v>5.3676160335146599E-2</v>
          </cell>
        </row>
        <row r="561">
          <cell r="A561" t="str">
            <v>RHES-SHSTG-NGAHP</v>
          </cell>
          <cell r="B561" t="str">
            <v>VAR_cap</v>
          </cell>
          <cell r="C561" t="str">
            <v>-</v>
          </cell>
          <cell r="D561">
            <v>1.79639506250459E-4</v>
          </cell>
          <cell r="E561">
            <v>1.260121945372098E-5</v>
          </cell>
          <cell r="F561">
            <v>3.2299313105841033E-2</v>
          </cell>
          <cell r="G561">
            <v>7.8418544976131196E-2</v>
          </cell>
          <cell r="H561">
            <v>9.3821810661020771E-2</v>
          </cell>
          <cell r="I561">
            <v>0.10951573590016075</v>
          </cell>
          <cell r="J561">
            <v>0.10129717538375189</v>
          </cell>
        </row>
        <row r="562">
          <cell r="A562" t="str">
            <v>D-RHNS_SOLELC</v>
          </cell>
          <cell r="B562" t="str">
            <v>VAR_fout</v>
          </cell>
          <cell r="C562" t="str">
            <v>RHNS_ELC</v>
          </cell>
          <cell r="E562">
            <v>4.4610573081826785E-4</v>
          </cell>
          <cell r="F562">
            <v>0.60449453601432079</v>
          </cell>
          <cell r="G562">
            <v>6.8087606650853862</v>
          </cell>
          <cell r="H562">
            <v>7.1544890477646437</v>
          </cell>
          <cell r="I562">
            <v>7.4365166149751278</v>
          </cell>
          <cell r="J562">
            <v>8.1112106834830744</v>
          </cell>
        </row>
        <row r="563">
          <cell r="A563" t="str">
            <v>D-RHNS_SOLELC</v>
          </cell>
          <cell r="B563" t="str">
            <v>VAR_fout</v>
          </cell>
          <cell r="C563" t="str">
            <v>ELC5</v>
          </cell>
          <cell r="E563">
            <v>4.2161160508669674E-4</v>
          </cell>
          <cell r="F563">
            <v>1.2037593434720842E-2</v>
          </cell>
          <cell r="G563">
            <v>9.8989616806791272E-3</v>
          </cell>
          <cell r="H563">
            <v>1.9972197810774563E-2</v>
          </cell>
          <cell r="I563">
            <v>6.8573214747798705E-2</v>
          </cell>
          <cell r="J563">
            <v>7.8933235753535461E-2</v>
          </cell>
        </row>
        <row r="564">
          <cell r="A564" t="str">
            <v>D-RHNS_SOLELC</v>
          </cell>
          <cell r="B564" t="str">
            <v>VAR_fin</v>
          </cell>
          <cell r="C564" t="str">
            <v>RHNS_SOL_ELC</v>
          </cell>
          <cell r="E564">
            <v>8.1350450122781083E-4</v>
          </cell>
          <cell r="F564">
            <v>0.61653212944904168</v>
          </cell>
          <cell r="G564">
            <v>6.8186596267660722</v>
          </cell>
          <cell r="H564">
            <v>7.174461245575424</v>
          </cell>
          <cell r="I564">
            <v>7.5050898297229294</v>
          </cell>
          <cell r="J564">
            <v>8.1901439192366112</v>
          </cell>
        </row>
        <row r="565">
          <cell r="A565" t="str">
            <v>D-IHFO</v>
          </cell>
          <cell r="B565" t="str">
            <v>VAR_fout</v>
          </cell>
          <cell r="C565" t="str">
            <v>CO2</v>
          </cell>
          <cell r="D565">
            <v>213.79241210908199</v>
          </cell>
          <cell r="E565">
            <v>212.85628720739001</v>
          </cell>
          <cell r="F565">
            <v>3.7172709845761398</v>
          </cell>
          <cell r="G565">
            <v>0.355862195401279</v>
          </cell>
          <cell r="H565">
            <v>4.9045550123723398</v>
          </cell>
          <cell r="I565">
            <v>0.47831390300676302</v>
          </cell>
        </row>
        <row r="566">
          <cell r="A566" t="str">
            <v>D-IHFO</v>
          </cell>
          <cell r="B566" t="str">
            <v>VAR_fout</v>
          </cell>
          <cell r="C566" t="str">
            <v>IHFO</v>
          </cell>
          <cell r="D566">
            <v>2.7301536321320046</v>
          </cell>
          <cell r="E566">
            <v>2.7181992097309959</v>
          </cell>
          <cell r="F566">
            <v>4.7469976974586547E-2</v>
          </cell>
          <cell r="G566">
            <v>4.5444010651676508E-3</v>
          </cell>
          <cell r="H566">
            <v>6.2631730232724711E-2</v>
          </cell>
          <cell r="I566">
            <v>6.1081234208015898E-3</v>
          </cell>
        </row>
        <row r="567">
          <cell r="A567" t="str">
            <v>D-IHFO</v>
          </cell>
          <cell r="B567" t="str">
            <v>VAR_fin</v>
          </cell>
          <cell r="C567" t="str">
            <v>HFO</v>
          </cell>
          <cell r="D567">
            <v>2.7765248325854821</v>
          </cell>
          <cell r="E567">
            <v>2.7643673663297474</v>
          </cell>
          <cell r="F567">
            <v>4.8276246552936893E-2</v>
          </cell>
          <cell r="G567">
            <v>4.6215869532633732E-3</v>
          </cell>
          <cell r="H567">
            <v>6.36955196411991E-2</v>
          </cell>
          <cell r="I567">
            <v>6.2118688702177049E-3</v>
          </cell>
        </row>
        <row r="568">
          <cell r="A568" t="str">
            <v>RHEM-SHCONBR</v>
          </cell>
          <cell r="B568" t="str">
            <v>VAR_fout</v>
          </cell>
          <cell r="C568" t="str">
            <v>RHEM-SHCON</v>
          </cell>
          <cell r="F568">
            <v>3.090154956480377E-3</v>
          </cell>
          <cell r="G568">
            <v>3.1290740586523095E-3</v>
          </cell>
          <cell r="H568">
            <v>6.4063680883185269E-3</v>
          </cell>
          <cell r="I568">
            <v>6.6772206513660117E-3</v>
          </cell>
          <cell r="J568">
            <v>1.7842475220026521E-2</v>
          </cell>
        </row>
        <row r="569">
          <cell r="A569" t="str">
            <v>RHEM-SHCONBR</v>
          </cell>
          <cell r="B569" t="str">
            <v>VAR_fin</v>
          </cell>
          <cell r="C569" t="str">
            <v>CON</v>
          </cell>
          <cell r="F569">
            <v>3.090154956480377E-3</v>
          </cell>
          <cell r="G569">
            <v>3.1290740586523095E-3</v>
          </cell>
          <cell r="H569">
            <v>6.4063680883185269E-3</v>
          </cell>
          <cell r="I569">
            <v>6.6772206513660117E-3</v>
          </cell>
          <cell r="J569">
            <v>1.7842475220026521E-2</v>
          </cell>
        </row>
        <row r="570">
          <cell r="A570" t="str">
            <v>RHEM-SHCONBR</v>
          </cell>
          <cell r="B570" t="str">
            <v>VAR_ncap</v>
          </cell>
          <cell r="C570" t="str">
            <v>-</v>
          </cell>
          <cell r="D570">
            <v>5.1617908917867904E-7</v>
          </cell>
          <cell r="E570">
            <v>1.13277595582835E-6</v>
          </cell>
          <cell r="F570">
            <v>2.3284643993833201E-4</v>
          </cell>
          <cell r="G570">
            <v>2.6434604579366802E-6</v>
          </cell>
          <cell r="H570">
            <v>2.5027600839206402E-4</v>
          </cell>
          <cell r="I570">
            <v>1.6651401362531901E-5</v>
          </cell>
          <cell r="J570">
            <v>7.7359151078663999E-4</v>
          </cell>
        </row>
        <row r="571">
          <cell r="A571" t="str">
            <v>RHEM-SHCONBR</v>
          </cell>
          <cell r="B571" t="str">
            <v>VAR_cap</v>
          </cell>
          <cell r="C571" t="str">
            <v>-</v>
          </cell>
          <cell r="D571">
            <v>5.1617908917867904E-7</v>
          </cell>
          <cell r="E571">
            <v>-1.82951750422099E-6</v>
          </cell>
          <cell r="F571">
            <v>2.3346556140061293E-4</v>
          </cell>
          <cell r="G571">
            <v>2.3556776814653778E-4</v>
          </cell>
          <cell r="H571">
            <v>4.8475430044511399E-4</v>
          </cell>
          <cell r="I571">
            <v>5.0111945715074495E-4</v>
          </cell>
          <cell r="J571">
            <v>1.2763863051529062E-3</v>
          </cell>
        </row>
        <row r="572">
          <cell r="A572" t="str">
            <v>RHEM-SHSOLBR</v>
          </cell>
          <cell r="B572" t="str">
            <v>VAR_fout</v>
          </cell>
          <cell r="C572" t="str">
            <v>RHEM-SHASOL</v>
          </cell>
          <cell r="D572">
            <v>0.40811452667849391</v>
          </cell>
          <cell r="E572">
            <v>0.47105859154217283</v>
          </cell>
          <cell r="F572">
            <v>9.7498787671043158E-3</v>
          </cell>
          <cell r="G572">
            <v>1.1526964048192204E-2</v>
          </cell>
          <cell r="H572">
            <v>1.1527379448475318E-2</v>
          </cell>
          <cell r="I572">
            <v>1.0896509928114207E-2</v>
          </cell>
          <cell r="J572">
            <v>8.9737500050908192E-3</v>
          </cell>
        </row>
        <row r="573">
          <cell r="A573" t="str">
            <v>RHEM-SHSOLBR</v>
          </cell>
          <cell r="B573" t="str">
            <v>VAR_fin</v>
          </cell>
          <cell r="C573" t="str">
            <v>SOL</v>
          </cell>
          <cell r="D573">
            <v>0.40811452667849391</v>
          </cell>
          <cell r="E573">
            <v>0.47105859154217283</v>
          </cell>
          <cell r="F573">
            <v>9.7498787671043158E-3</v>
          </cell>
          <cell r="G573">
            <v>1.1526964048192204E-2</v>
          </cell>
          <cell r="H573">
            <v>1.1527379448475318E-2</v>
          </cell>
          <cell r="I573">
            <v>1.0896509928114207E-2</v>
          </cell>
          <cell r="J573">
            <v>8.9737500050908192E-3</v>
          </cell>
        </row>
        <row r="574">
          <cell r="A574" t="str">
            <v>RHEM-SHSOLBR</v>
          </cell>
          <cell r="B574" t="str">
            <v>VAR_ncap</v>
          </cell>
          <cell r="C574" t="str">
            <v>-</v>
          </cell>
          <cell r="D574">
            <v>1.52076230785514E-4</v>
          </cell>
          <cell r="E574">
            <v>9.4641095988876999E-3</v>
          </cell>
          <cell r="F574">
            <v>1.59108140034883E-5</v>
          </cell>
          <cell r="G574">
            <v>3.1151676657240697E-5</v>
          </cell>
          <cell r="H574">
            <v>9.2045773443547493E-5</v>
          </cell>
          <cell r="I574">
            <v>3.5767194308346201E-3</v>
          </cell>
          <cell r="J574">
            <v>1.7580803808809299E-4</v>
          </cell>
        </row>
        <row r="575">
          <cell r="A575" t="str">
            <v>RHEM-SHSOLBR</v>
          </cell>
          <cell r="B575" t="str">
            <v>VAR_cap</v>
          </cell>
          <cell r="C575" t="str">
            <v>-</v>
          </cell>
          <cell r="D575">
            <v>5.9406997647823818E-2</v>
          </cell>
          <cell r="E575">
            <v>6.8869571666533694E-2</v>
          </cell>
          <cell r="F575">
            <v>6.8866699376271268E-2</v>
          </cell>
          <cell r="G575">
            <v>6.8891480743571501E-2</v>
          </cell>
          <cell r="H575">
            <v>2.0253425996899999E-2</v>
          </cell>
          <cell r="I575">
            <v>3.6835289616063659E-3</v>
          </cell>
          <cell r="J575">
            <v>2.80560472757549E-3</v>
          </cell>
        </row>
        <row r="576">
          <cell r="A576" t="str">
            <v>SCOM-SHH2BR</v>
          </cell>
          <cell r="B576" t="str">
            <v>VAR_ncap</v>
          </cell>
          <cell r="C576" t="str">
            <v>-</v>
          </cell>
          <cell r="G576">
            <v>1.50430412996553E-5</v>
          </cell>
          <cell r="H576">
            <v>0.35171178233734701</v>
          </cell>
          <cell r="I576">
            <v>0.67317059470998797</v>
          </cell>
          <cell r="J576">
            <v>0.38244626197204301</v>
          </cell>
        </row>
        <row r="577">
          <cell r="A577" t="str">
            <v>SCOM-SHH2BR</v>
          </cell>
          <cell r="B577" t="str">
            <v>VAR_cap</v>
          </cell>
          <cell r="C577" t="str">
            <v>-</v>
          </cell>
          <cell r="G577">
            <v>1.50430412996553E-5</v>
          </cell>
          <cell r="H577">
            <v>0.35170957287155408</v>
          </cell>
          <cell r="I577">
            <v>1.0248606685733626</v>
          </cell>
          <cell r="J577">
            <v>1.0197354728735319</v>
          </cell>
        </row>
        <row r="578">
          <cell r="A578" t="str">
            <v>ITOT-SWHCONBR1</v>
          </cell>
          <cell r="B578" t="str">
            <v>VAR_fout</v>
          </cell>
          <cell r="C578" t="str">
            <v>ITOT-ELS</v>
          </cell>
          <cell r="E578">
            <v>0.3622179266153624</v>
          </cell>
          <cell r="F578">
            <v>0.36220891951043244</v>
          </cell>
          <cell r="G578">
            <v>0.37291987440529623</v>
          </cell>
          <cell r="H578">
            <v>0.37296500068708804</v>
          </cell>
          <cell r="I578">
            <v>0.96971934341541666</v>
          </cell>
          <cell r="J578">
            <v>0.96973096793090652</v>
          </cell>
        </row>
        <row r="579">
          <cell r="A579" t="str">
            <v>ITOT-SWHCONBR1</v>
          </cell>
          <cell r="B579" t="str">
            <v>VAR_fout</v>
          </cell>
          <cell r="C579" t="str">
            <v>ITOT-SWHC</v>
          </cell>
          <cell r="E579">
            <v>1.7219299153213108</v>
          </cell>
          <cell r="F579">
            <v>1.7218870968899473</v>
          </cell>
          <cell r="G579">
            <v>1.7728053764667278</v>
          </cell>
          <cell r="H579">
            <v>1.7730199000694393</v>
          </cell>
          <cell r="I579">
            <v>4.6099009027399278</v>
          </cell>
          <cell r="J579">
            <v>4.6099561639501072</v>
          </cell>
        </row>
        <row r="580">
          <cell r="A580" t="str">
            <v>ITOT-SWHCONBR1</v>
          </cell>
          <cell r="B580" t="str">
            <v>VAR_fin</v>
          </cell>
          <cell r="C580" t="str">
            <v>CON</v>
          </cell>
          <cell r="E580">
            <v>2.0841478419366717</v>
          </cell>
          <cell r="F580">
            <v>2.084096016400379</v>
          </cell>
          <cell r="G580">
            <v>2.1457252508720228</v>
          </cell>
          <cell r="H580">
            <v>2.1459849007565297</v>
          </cell>
          <cell r="I580">
            <v>5.5796202461553452</v>
          </cell>
          <cell r="J580">
            <v>5.5796871318810117</v>
          </cell>
        </row>
        <row r="581">
          <cell r="A581" t="str">
            <v>ITOT-SWHCONBR1</v>
          </cell>
          <cell r="B581" t="str">
            <v>VAR_ncap</v>
          </cell>
          <cell r="C581" t="str">
            <v>-</v>
          </cell>
          <cell r="E581">
            <v>0.113348806797609</v>
          </cell>
          <cell r="F581">
            <v>4.9691570824490602E-6</v>
          </cell>
          <cell r="G581">
            <v>3.35496951383633E-3</v>
          </cell>
          <cell r="H581">
            <v>5.5297389648103802E-2</v>
          </cell>
          <cell r="I581">
            <v>0.24591093174418699</v>
          </cell>
          <cell r="J581">
            <v>0.101643477443264</v>
          </cell>
        </row>
        <row r="582">
          <cell r="A582" t="str">
            <v>ITOT-SWHCONBR1</v>
          </cell>
          <cell r="B582" t="str">
            <v>VAR_cap</v>
          </cell>
          <cell r="C582" t="str">
            <v>-</v>
          </cell>
          <cell r="E582">
            <v>0.113348806797609</v>
          </cell>
          <cell r="F582">
            <v>0.113353775954692</v>
          </cell>
          <cell r="G582">
            <v>0.116708745468528</v>
          </cell>
          <cell r="H582">
            <v>0.116730886587841</v>
          </cell>
          <cell r="I582">
            <v>0.30350059978621302</v>
          </cell>
          <cell r="J582">
            <v>0.30349978455193699</v>
          </cell>
        </row>
        <row r="583">
          <cell r="A583" t="str">
            <v>SCOM-SHLTHCHPWOD</v>
          </cell>
          <cell r="B583" t="str">
            <v>VAR_ncap</v>
          </cell>
          <cell r="C583" t="str">
            <v>-</v>
          </cell>
          <cell r="G583">
            <v>3.3130789620735098E-4</v>
          </cell>
          <cell r="H583">
            <v>4.7100209777573698E-4</v>
          </cell>
          <cell r="I583">
            <v>3.1427614902051598E-4</v>
          </cell>
          <cell r="J583">
            <v>1.4917155997074601E-4</v>
          </cell>
        </row>
        <row r="584">
          <cell r="A584" t="str">
            <v>SCOM-SHLTHCHPWOD</v>
          </cell>
          <cell r="B584" t="str">
            <v>VAR_cap</v>
          </cell>
          <cell r="C584" t="str">
            <v>-</v>
          </cell>
          <cell r="G584">
            <v>3.3130789620735098E-4</v>
          </cell>
          <cell r="H584">
            <v>5.9163514041115294E-4</v>
          </cell>
          <cell r="I584">
            <v>4.8150220622997588E-4</v>
          </cell>
          <cell r="J584">
            <v>2.4175361159862004E-4</v>
          </cell>
        </row>
        <row r="585">
          <cell r="A585" t="str">
            <v>SCOM-SHSTG-NGAHP</v>
          </cell>
          <cell r="B585" t="str">
            <v>VAR_fout</v>
          </cell>
          <cell r="C585" t="str">
            <v>SCOM-SHANGAH</v>
          </cell>
          <cell r="D585">
            <v>8.3310675922980599E-4</v>
          </cell>
          <cell r="E585">
            <v>1.6981233105690101E-3</v>
          </cell>
          <cell r="F585">
            <v>3.5430699682964138E-4</v>
          </cell>
          <cell r="G585">
            <v>4.0511484726976041E-4</v>
          </cell>
          <cell r="H585">
            <v>3.6175349022472022E-4</v>
          </cell>
          <cell r="I585">
            <v>3.838422908841145E-4</v>
          </cell>
          <cell r="J585">
            <v>2.4859169534794827E-4</v>
          </cell>
        </row>
        <row r="586">
          <cell r="A586" t="str">
            <v>SCOM-SHSTG-NGAHP</v>
          </cell>
          <cell r="B586" t="str">
            <v>VAR_fin</v>
          </cell>
          <cell r="C586" t="str">
            <v>SCOM-SHANGAH</v>
          </cell>
          <cell r="D586">
            <v>8.3310675922980599E-4</v>
          </cell>
          <cell r="E586">
            <v>1.6981233105690101E-3</v>
          </cell>
          <cell r="F586">
            <v>4.6853015928261584E-4</v>
          </cell>
          <cell r="G586">
            <v>4.8845097949872841E-4</v>
          </cell>
          <cell r="H586">
            <v>3.8174317969559974E-4</v>
          </cell>
          <cell r="I586">
            <v>3.948794701908891E-4</v>
          </cell>
          <cell r="J586">
            <v>2.370509369156796E-4</v>
          </cell>
        </row>
        <row r="587">
          <cell r="A587" t="str">
            <v>SCOM-SHSTG-NGAHP</v>
          </cell>
          <cell r="B587" t="str">
            <v>VAR_ncap</v>
          </cell>
          <cell r="C587" t="str">
            <v>-</v>
          </cell>
          <cell r="D587">
            <v>2.3962421507575101E-2</v>
          </cell>
          <cell r="E587">
            <v>2.36577737561918E-4</v>
          </cell>
          <cell r="F587">
            <v>4.3436037999177897E-2</v>
          </cell>
          <cell r="G587">
            <v>7.7420052369661999E-2</v>
          </cell>
          <cell r="H587">
            <v>3.78743070677936E-2</v>
          </cell>
          <cell r="I587">
            <v>0.105683475671148</v>
          </cell>
          <cell r="J587">
            <v>0.117829543629643</v>
          </cell>
        </row>
        <row r="588">
          <cell r="A588" t="str">
            <v>SCOM-SHSTG-NGAHP</v>
          </cell>
          <cell r="B588" t="str">
            <v>VAR_cap</v>
          </cell>
          <cell r="C588" t="str">
            <v>-</v>
          </cell>
          <cell r="D588">
            <v>2.3962421507575101E-2</v>
          </cell>
          <cell r="E588">
            <v>2.6910497983129861E-4</v>
          </cell>
          <cell r="F588">
            <v>4.3565847778067893E-2</v>
          </cell>
          <cell r="G588">
            <v>0.12067272681975021</v>
          </cell>
          <cell r="H588">
            <v>0.15743613191103298</v>
          </cell>
          <cell r="I588">
            <v>0.20246539758016258</v>
          </cell>
          <cell r="J588">
            <v>0.20947444199722315</v>
          </cell>
        </row>
        <row r="589">
          <cell r="A589" t="str">
            <v>ITOT-SWHCONBR2</v>
          </cell>
          <cell r="B589" t="str">
            <v>VAR_fout</v>
          </cell>
          <cell r="C589" t="str">
            <v>ITOT-ELS</v>
          </cell>
          <cell r="G589">
            <v>3.0796622752504166E-3</v>
          </cell>
          <cell r="H589">
            <v>1.049821929895948E-2</v>
          </cell>
          <cell r="I589">
            <v>0.87996023983662564</v>
          </cell>
          <cell r="J589">
            <v>0.8799462595032882</v>
          </cell>
        </row>
        <row r="590">
          <cell r="A590" t="str">
            <v>ITOT-SWHCONBR2</v>
          </cell>
          <cell r="B590" t="str">
            <v>VAR_fout</v>
          </cell>
          <cell r="C590" t="str">
            <v>ITOT-SWHC</v>
          </cell>
          <cell r="G590">
            <v>4.760568518370702E-3</v>
          </cell>
          <cell r="H590">
            <v>1.6228237977657593E-2</v>
          </cell>
          <cell r="I590">
            <v>1.3602501315971545</v>
          </cell>
          <cell r="J590">
            <v>1.36022852067725</v>
          </cell>
        </row>
        <row r="591">
          <cell r="A591" t="str">
            <v>ITOT-SWHCONBR2</v>
          </cell>
          <cell r="B591" t="str">
            <v>VAR_fin</v>
          </cell>
          <cell r="C591" t="str">
            <v>CON</v>
          </cell>
          <cell r="G591">
            <v>7.8402307936211134E-3</v>
          </cell>
          <cell r="H591">
            <v>2.6726457276617085E-2</v>
          </cell>
          <cell r="I591">
            <v>2.2402103714337791</v>
          </cell>
          <cell r="J591">
            <v>2.2401747801805372</v>
          </cell>
        </row>
        <row r="592">
          <cell r="A592" t="str">
            <v>ITOT-SWHCONBR2</v>
          </cell>
          <cell r="B592" t="str">
            <v>VAR_ncap</v>
          </cell>
          <cell r="C592" t="str">
            <v>-</v>
          </cell>
          <cell r="G592">
            <v>4.2157366233260902E-4</v>
          </cell>
          <cell r="H592">
            <v>1.0235278529873899E-3</v>
          </cell>
          <cell r="I592">
            <v>0.120539867736853</v>
          </cell>
          <cell r="J592">
            <v>3.3937114658069402E-2</v>
          </cell>
        </row>
        <row r="593">
          <cell r="A593" t="str">
            <v>ITOT-SWHCONBR2</v>
          </cell>
          <cell r="B593" t="str">
            <v>VAR_cap</v>
          </cell>
          <cell r="C593" t="str">
            <v>-</v>
          </cell>
          <cell r="G593">
            <v>4.2157366233260902E-4</v>
          </cell>
          <cell r="H593">
            <v>1.4451015153200001E-3</v>
          </cell>
          <cell r="I593">
            <v>0.12185132462972501</v>
          </cell>
          <cell r="J593">
            <v>0.12184988444556499</v>
          </cell>
        </row>
        <row r="594">
          <cell r="A594" t="str">
            <v>RHES-SHCONBR1</v>
          </cell>
          <cell r="B594" t="str">
            <v>VAR_fout</v>
          </cell>
          <cell r="C594" t="str">
            <v>RHES-SHCON</v>
          </cell>
          <cell r="D594">
            <v>9.1338450630336007E-2</v>
          </cell>
          <cell r="E594">
            <v>1.1282147780373255</v>
          </cell>
          <cell r="F594">
            <v>0.8696331598688205</v>
          </cell>
          <cell r="G594">
            <v>2.6320124781029142</v>
          </cell>
          <cell r="H594">
            <v>4.2156698879323349</v>
          </cell>
          <cell r="I594">
            <v>4.7509429428611707</v>
          </cell>
          <cell r="J594">
            <v>6.4144919242710179</v>
          </cell>
        </row>
        <row r="595">
          <cell r="A595" t="str">
            <v>RHES-SHCONBR1</v>
          </cell>
          <cell r="B595" t="str">
            <v>VAR_fin</v>
          </cell>
          <cell r="C595" t="str">
            <v>CON</v>
          </cell>
          <cell r="D595">
            <v>9.1338450630336007E-2</v>
          </cell>
          <cell r="E595">
            <v>1.1282147780373255</v>
          </cell>
          <cell r="F595">
            <v>0.8696331598688205</v>
          </cell>
          <cell r="G595">
            <v>2.6320124781029142</v>
          </cell>
          <cell r="H595">
            <v>4.2156698879323349</v>
          </cell>
          <cell r="I595">
            <v>4.7509429428611707</v>
          </cell>
          <cell r="J595">
            <v>6.4144919242710179</v>
          </cell>
        </row>
        <row r="596">
          <cell r="A596" t="str">
            <v>RHES-SHCONBR1</v>
          </cell>
          <cell r="B596" t="str">
            <v>VAR_ncap</v>
          </cell>
          <cell r="C596" t="str">
            <v>-</v>
          </cell>
          <cell r="D596">
            <v>4.5552129879623197E-2</v>
          </cell>
          <cell r="E596">
            <v>4.55520572351754E-2</v>
          </cell>
          <cell r="F596">
            <v>1.5750621618894999E-5</v>
          </cell>
          <cell r="G596">
            <v>0.122514465531517</v>
          </cell>
          <cell r="H596">
            <v>0.127352101411738</v>
          </cell>
          <cell r="I596">
            <v>4.31387059657731E-2</v>
          </cell>
          <cell r="J596">
            <v>0.17619295197444501</v>
          </cell>
        </row>
        <row r="597">
          <cell r="A597" t="str">
            <v>RHES-SHCONBR1</v>
          </cell>
          <cell r="B597" t="str">
            <v>VAR_cap</v>
          </cell>
          <cell r="C597" t="str">
            <v>-</v>
          </cell>
          <cell r="D597">
            <v>4.5552129879623197E-2</v>
          </cell>
          <cell r="E597">
            <v>9.1103961139069364E-2</v>
          </cell>
          <cell r="F597">
            <v>9.1110755467017482E-2</v>
          </cell>
          <cell r="G597">
            <v>0.21362585588375346</v>
          </cell>
          <cell r="H597">
            <v>0.34097713614867725</v>
          </cell>
          <cell r="I597">
            <v>0.3841183347566387</v>
          </cell>
          <cell r="J597">
            <v>0.51838323176081502</v>
          </cell>
        </row>
        <row r="598">
          <cell r="A598" t="str">
            <v>ITOT-SWHCONBR3</v>
          </cell>
          <cell r="B598" t="str">
            <v>VAR_fout</v>
          </cell>
          <cell r="C598" t="str">
            <v>ITOT-ELS</v>
          </cell>
          <cell r="G598">
            <v>2.3867093230823125E-3</v>
          </cell>
          <cell r="H598">
            <v>5.4823208846921491E-3</v>
          </cell>
          <cell r="I598">
            <v>2.2987385511850968</v>
          </cell>
          <cell r="J598">
            <v>2.298728638522193</v>
          </cell>
        </row>
        <row r="599">
          <cell r="A599" t="str">
            <v>ITOT-SWHCONBR3</v>
          </cell>
          <cell r="B599" t="str">
            <v>VAR_fout</v>
          </cell>
          <cell r="C599" t="str">
            <v>ITOT-SWHC</v>
          </cell>
          <cell r="G599">
            <v>4.7365600415444197E-3</v>
          </cell>
          <cell r="H599">
            <v>1.0879976789055244E-2</v>
          </cell>
          <cell r="I599">
            <v>4.5619770544322487</v>
          </cell>
          <cell r="J599">
            <v>4.5619573821904096</v>
          </cell>
        </row>
        <row r="600">
          <cell r="A600" t="str">
            <v>ITOT-SWHCONBR3</v>
          </cell>
          <cell r="B600" t="str">
            <v>VAR_fin</v>
          </cell>
          <cell r="C600" t="str">
            <v>CON</v>
          </cell>
          <cell r="G600">
            <v>7.1232693646267357E-3</v>
          </cell>
          <cell r="H600">
            <v>1.6362297673747389E-2</v>
          </cell>
          <cell r="I600">
            <v>6.8607156056173482</v>
          </cell>
          <cell r="J600">
            <v>6.8606860207125981</v>
          </cell>
        </row>
        <row r="601">
          <cell r="A601" t="str">
            <v>ITOT-SWHCONBR3</v>
          </cell>
          <cell r="B601" t="str">
            <v>VAR_ncap</v>
          </cell>
          <cell r="C601" t="str">
            <v>-</v>
          </cell>
          <cell r="G601">
            <v>3.7718280768828702E-4</v>
          </cell>
          <cell r="H601">
            <v>5.0109689726360004E-4</v>
          </cell>
          <cell r="I601">
            <v>0.37241945093281698</v>
          </cell>
          <cell r="J601">
            <v>0.102686555210823</v>
          </cell>
        </row>
        <row r="602">
          <cell r="A602" t="str">
            <v>ITOT-SWHCONBR3</v>
          </cell>
          <cell r="B602" t="str">
            <v>VAR_cap</v>
          </cell>
          <cell r="C602" t="str">
            <v>-</v>
          </cell>
          <cell r="G602">
            <v>3.7718280768828702E-4</v>
          </cell>
          <cell r="H602">
            <v>8.7827970495188705E-4</v>
          </cell>
          <cell r="I602">
            <v>0.37317815852396902</v>
          </cell>
          <cell r="J602">
            <v>0.373175797003509</v>
          </cell>
        </row>
        <row r="603">
          <cell r="A603" t="str">
            <v>ITOT-ELCSPECADV</v>
          </cell>
          <cell r="B603" t="str">
            <v>VAR_fout</v>
          </cell>
          <cell r="C603" t="str">
            <v>ITOT-ELS</v>
          </cell>
          <cell r="G603">
            <v>6.8200496968740748E-3</v>
          </cell>
          <cell r="H603">
            <v>1.8009958599717837E-2</v>
          </cell>
          <cell r="I603">
            <v>1.5474477717128284E-2</v>
          </cell>
          <cell r="J603">
            <v>1.7144165152948594E-2</v>
          </cell>
        </row>
        <row r="604">
          <cell r="A604" t="str">
            <v>ITOT-ELCSPECADV</v>
          </cell>
          <cell r="B604" t="str">
            <v>VAR_fin</v>
          </cell>
          <cell r="C604" t="str">
            <v>ITOT_ELC</v>
          </cell>
          <cell r="G604">
            <v>6.4952854255943548E-3</v>
          </cell>
          <cell r="H604">
            <v>1.6753449860202652E-2</v>
          </cell>
          <cell r="I604">
            <v>1.4067707015571165E-2</v>
          </cell>
          <cell r="J604">
            <v>1.4907969698216162E-2</v>
          </cell>
        </row>
        <row r="605">
          <cell r="A605" t="str">
            <v>ITOT-ELCSPECADV</v>
          </cell>
          <cell r="B605" t="str">
            <v>VAR_ncap</v>
          </cell>
          <cell r="C605" t="str">
            <v>-</v>
          </cell>
          <cell r="G605">
            <v>7.04528266115286E-4</v>
          </cell>
          <cell r="H605">
            <v>5.4013030744578497E-4</v>
          </cell>
          <cell r="I605">
            <v>1.9417828434349699E-5</v>
          </cell>
          <cell r="J605">
            <v>1.67817536934631E-5</v>
          </cell>
        </row>
        <row r="606">
          <cell r="A606" t="str">
            <v>ITOT-ELCSPECADV</v>
          </cell>
          <cell r="B606" t="str">
            <v>VAR_cap</v>
          </cell>
          <cell r="C606" t="str">
            <v>-</v>
          </cell>
          <cell r="G606">
            <v>7.04528266115286E-4</v>
          </cell>
          <cell r="H606">
            <v>1.2425624049290092E-3</v>
          </cell>
          <cell r="I606">
            <v>1.2542584413136647E-3</v>
          </cell>
          <cell r="J606">
            <v>1.0194011063148632E-3</v>
          </cell>
        </row>
        <row r="607">
          <cell r="A607" t="str">
            <v>RHES-SHELCBR</v>
          </cell>
          <cell r="B607" t="str">
            <v>VAR_fout</v>
          </cell>
          <cell r="C607" t="str">
            <v>RHES-SHAELCB</v>
          </cell>
          <cell r="D607">
            <v>4.2802842198011852</v>
          </cell>
          <cell r="E607">
            <v>4.4883656794970577</v>
          </cell>
          <cell r="F607">
            <v>0.78647818589278051</v>
          </cell>
          <cell r="G607">
            <v>0.18593332401573226</v>
          </cell>
          <cell r="H607">
            <v>1.3559624785440358E-2</v>
          </cell>
          <cell r="I607">
            <v>3.4306243686517785E-3</v>
          </cell>
          <cell r="J607">
            <v>1.9542093614694769E-3</v>
          </cell>
        </row>
        <row r="608">
          <cell r="A608" t="str">
            <v>RHES-SHELCBR</v>
          </cell>
          <cell r="B608" t="str">
            <v>VAR_fin</v>
          </cell>
          <cell r="C608" t="str">
            <v>RHES_ELC</v>
          </cell>
          <cell r="D608">
            <v>4.5055623366328259</v>
          </cell>
          <cell r="E608">
            <v>4.7245954521021698</v>
          </cell>
          <cell r="F608">
            <v>0.85720904909904283</v>
          </cell>
          <cell r="G608">
            <v>0.20265498870057488</v>
          </cell>
          <cell r="H608">
            <v>1.477909149542735E-2</v>
          </cell>
          <cell r="I608">
            <v>3.6992155352620101E-3</v>
          </cell>
          <cell r="J608">
            <v>2.0687034042513163E-3</v>
          </cell>
        </row>
        <row r="609">
          <cell r="A609" t="str">
            <v>RHES-SHELCBR</v>
          </cell>
          <cell r="B609" t="str">
            <v>VAR_ncap</v>
          </cell>
          <cell r="C609" t="str">
            <v>-</v>
          </cell>
          <cell r="D609">
            <v>5.0448330531093404E-7</v>
          </cell>
          <cell r="E609">
            <v>1.7234735377372901E-2</v>
          </cell>
          <cell r="F609">
            <v>3.3047735763248401E-6</v>
          </cell>
          <cell r="G609">
            <v>5.5423657146273401E-6</v>
          </cell>
          <cell r="H609">
            <v>3.21502410703926E-5</v>
          </cell>
          <cell r="I609">
            <v>4.2993652982383803E-4</v>
          </cell>
          <cell r="J609">
            <v>4.9415342843582199E-6</v>
          </cell>
        </row>
        <row r="610">
          <cell r="A610" t="str">
            <v>RHES-SHELCBR</v>
          </cell>
          <cell r="B610" t="str">
            <v>VAR_cap</v>
          </cell>
          <cell r="C610" t="str">
            <v>-</v>
          </cell>
          <cell r="D610">
            <v>0.34576980435963828</v>
          </cell>
          <cell r="E610">
            <v>0.3630014802739262</v>
          </cell>
          <cell r="F610">
            <v>0.1151385168950595</v>
          </cell>
          <cell r="G610">
            <v>2.7359641309959104E-2</v>
          </cell>
          <cell r="H610">
            <v>2.0745799886377342E-3</v>
          </cell>
          <cell r="I610">
            <v>4.5378640528403807E-4</v>
          </cell>
          <cell r="J610">
            <v>2.3234173578583851E-4</v>
          </cell>
        </row>
        <row r="611">
          <cell r="A611" t="str">
            <v>RHSA-WHELCBR</v>
          </cell>
          <cell r="B611" t="str">
            <v>VAR_fout</v>
          </cell>
          <cell r="C611" t="str">
            <v>RHSA-WHAELCB</v>
          </cell>
          <cell r="D611">
            <v>6.6450401712067455</v>
          </cell>
          <cell r="E611">
            <v>6.9687574275601136</v>
          </cell>
          <cell r="F611">
            <v>2.8222235255705348</v>
          </cell>
          <cell r="G611">
            <v>2.0093105574710819</v>
          </cell>
          <cell r="H611">
            <v>1.8599727550549274</v>
          </cell>
          <cell r="I611">
            <v>1.7215038128548981</v>
          </cell>
          <cell r="J611">
            <v>1.5550888267798728</v>
          </cell>
        </row>
        <row r="612">
          <cell r="A612" t="str">
            <v>RHSA-WHELCBR</v>
          </cell>
          <cell r="B612" t="str">
            <v>VAR_fin</v>
          </cell>
          <cell r="C612" t="str">
            <v>RHSA_ELC</v>
          </cell>
          <cell r="D612">
            <v>8.4114432546920828</v>
          </cell>
          <cell r="E612">
            <v>8.7989361459092343</v>
          </cell>
          <cell r="F612">
            <v>6.0594201068162699</v>
          </cell>
          <cell r="G612">
            <v>4.1402415107855282</v>
          </cell>
          <cell r="H612">
            <v>3.7484737581233953</v>
          </cell>
          <cell r="I612">
            <v>3.4108421979222174</v>
          </cell>
          <cell r="J612">
            <v>2.9944918132330121</v>
          </cell>
        </row>
        <row r="613">
          <cell r="A613" t="str">
            <v>RHSA-WHELCBR</v>
          </cell>
          <cell r="B613" t="str">
            <v>VAR_ncap</v>
          </cell>
          <cell r="C613" t="str">
            <v>-</v>
          </cell>
          <cell r="D613">
            <v>4.8522223533181398E-4</v>
          </cell>
          <cell r="E613">
            <v>3.42205483671617E-2</v>
          </cell>
          <cell r="F613">
            <v>6.2666672536612602E-6</v>
          </cell>
          <cell r="G613">
            <v>1.11083084967643E-5</v>
          </cell>
          <cell r="H613">
            <v>5.9341301530155301E-2</v>
          </cell>
          <cell r="I613">
            <v>8.89881226578422E-2</v>
          </cell>
          <cell r="J613">
            <v>4.8541097516170098E-2</v>
          </cell>
        </row>
        <row r="614">
          <cell r="A614" t="str">
            <v>RHSA-WHELCBR</v>
          </cell>
          <cell r="B614" t="str">
            <v>VAR_cap</v>
          </cell>
          <cell r="C614" t="str">
            <v>-</v>
          </cell>
          <cell r="D614">
            <v>0.43805381100900881</v>
          </cell>
          <cell r="E614">
            <v>0.47226492076174675</v>
          </cell>
          <cell r="F614">
            <v>0.34825311645012907</v>
          </cell>
          <cell r="G614">
            <v>0.25497296554436588</v>
          </cell>
          <cell r="H614">
            <v>0.13406737786247211</v>
          </cell>
          <cell r="I614">
            <v>0.14831721474331847</v>
          </cell>
          <cell r="J614">
            <v>0.13820878016960519</v>
          </cell>
        </row>
        <row r="615">
          <cell r="A615" t="str">
            <v>ITOT-SWHLTHDH</v>
          </cell>
          <cell r="B615" t="str">
            <v>VAR_fout</v>
          </cell>
          <cell r="C615" t="str">
            <v>ITOT-SWH</v>
          </cell>
          <cell r="D615">
            <v>6.5824646464109744</v>
          </cell>
          <cell r="E615">
            <v>7.0678935623555006</v>
          </cell>
          <cell r="F615">
            <v>7.0905443365677856</v>
          </cell>
          <cell r="G615">
            <v>7.1283840021187768</v>
          </cell>
          <cell r="H615">
            <v>7.1661378789950358</v>
          </cell>
          <cell r="I615">
            <v>7.2030321047667991</v>
          </cell>
          <cell r="J615">
            <v>8.0870394899735771</v>
          </cell>
        </row>
        <row r="616">
          <cell r="A616" t="str">
            <v>ITOT-SWHLTHDH</v>
          </cell>
          <cell r="B616" t="str">
            <v>VAR_fin</v>
          </cell>
          <cell r="C616" t="str">
            <v>ITOT_LTH_DH</v>
          </cell>
          <cell r="D616">
            <v>7.1202094790041857</v>
          </cell>
          <cell r="E616">
            <v>7.6289546232497099</v>
          </cell>
          <cell r="F616">
            <v>7.6289456009858734</v>
          </cell>
          <cell r="G616">
            <v>7.6290252733156585</v>
          </cell>
          <cell r="H616">
            <v>7.6290127759654762</v>
          </cell>
          <cell r="I616">
            <v>7.6280900296952057</v>
          </cell>
          <cell r="J616">
            <v>8.5126731473406103</v>
          </cell>
        </row>
        <row r="617">
          <cell r="A617" t="str">
            <v>ITOT-SWHLTHDH</v>
          </cell>
          <cell r="B617" t="str">
            <v>VAR_fin</v>
          </cell>
          <cell r="C617" t="str">
            <v>ITOTLTHDHC</v>
          </cell>
          <cell r="D617">
            <v>6.5824646464109744</v>
          </cell>
          <cell r="E617">
            <v>7.0678935623555006</v>
          </cell>
          <cell r="F617">
            <v>7.0905443365677856</v>
          </cell>
          <cell r="G617">
            <v>7.1283840021187768</v>
          </cell>
          <cell r="H617">
            <v>7.1661378789950358</v>
          </cell>
          <cell r="I617">
            <v>7.2030321047667991</v>
          </cell>
          <cell r="J617">
            <v>8.0870394899735771</v>
          </cell>
        </row>
        <row r="618">
          <cell r="A618" t="str">
            <v>ITOT-SWHLTHDH</v>
          </cell>
          <cell r="B618" t="str">
            <v>VAR_ncap</v>
          </cell>
          <cell r="C618" t="str">
            <v>-</v>
          </cell>
          <cell r="E618">
            <v>0.32363936147823202</v>
          </cell>
          <cell r="F618">
            <v>0.35416572165885002</v>
          </cell>
          <cell r="G618">
            <v>0.24020758780524001</v>
          </cell>
          <cell r="H618">
            <v>0.30720215706726001</v>
          </cell>
          <cell r="I618">
            <v>0.38204002696274297</v>
          </cell>
          <cell r="J618">
            <v>0.58926461992578105</v>
          </cell>
        </row>
        <row r="619">
          <cell r="A619" t="str">
            <v>ITOT-SWHLTHDH</v>
          </cell>
          <cell r="B619" t="str">
            <v>VAR_cap</v>
          </cell>
          <cell r="C619" t="str">
            <v>-</v>
          </cell>
          <cell r="D619">
            <v>0.79547229253225304</v>
          </cell>
          <cell r="E619">
            <v>0.58363824373771311</v>
          </cell>
          <cell r="F619">
            <v>0.6607116936131151</v>
          </cell>
          <cell r="G619">
            <v>0.55300932339656494</v>
          </cell>
          <cell r="H619">
            <v>0.52743852570495697</v>
          </cell>
          <cell r="I619">
            <v>0.59812960915029401</v>
          </cell>
          <cell r="J619">
            <v>0.79530576038510803</v>
          </cell>
        </row>
        <row r="620">
          <cell r="A620" t="str">
            <v>RHES-SHCONBR2</v>
          </cell>
          <cell r="B620" t="str">
            <v>VAR_fout</v>
          </cell>
          <cell r="C620" t="str">
            <v>RHES-SHCON</v>
          </cell>
          <cell r="D620">
            <v>7.2258420511681104E-2</v>
          </cell>
          <cell r="E620">
            <v>0.82124890496275127</v>
          </cell>
          <cell r="F620">
            <v>0.59008665314887176</v>
          </cell>
          <cell r="G620">
            <v>0.8464830400040767</v>
          </cell>
          <cell r="H620">
            <v>1.4291022430256857</v>
          </cell>
          <cell r="I620">
            <v>2.9189416641923858</v>
          </cell>
          <cell r="J620">
            <v>4.6683340161693048</v>
          </cell>
        </row>
        <row r="621">
          <cell r="A621" t="str">
            <v>RHES-SHCONBR2</v>
          </cell>
          <cell r="B621" t="str">
            <v>VAR_fin</v>
          </cell>
          <cell r="C621" t="str">
            <v>CON</v>
          </cell>
          <cell r="D621">
            <v>7.2258420511681104E-2</v>
          </cell>
          <cell r="E621">
            <v>0.82124890496275127</v>
          </cell>
          <cell r="F621">
            <v>0.59008665314887176</v>
          </cell>
          <cell r="G621">
            <v>0.8464830400040767</v>
          </cell>
          <cell r="H621">
            <v>1.4291022430256857</v>
          </cell>
          <cell r="I621">
            <v>2.9189416641923858</v>
          </cell>
          <cell r="J621">
            <v>4.6683340161693048</v>
          </cell>
        </row>
        <row r="622">
          <cell r="A622" t="str">
            <v>RHES-SHCONBR2</v>
          </cell>
          <cell r="B622" t="str">
            <v>VAR_ncap</v>
          </cell>
          <cell r="C622" t="str">
            <v>-</v>
          </cell>
          <cell r="D622">
            <v>3.31520119598619E-2</v>
          </cell>
          <cell r="E622">
            <v>3.3151955171501699E-2</v>
          </cell>
          <cell r="F622">
            <v>1.6385129819626399E-5</v>
          </cell>
          <cell r="G622">
            <v>3.0238886906695699E-3</v>
          </cell>
          <cell r="H622">
            <v>4.6512055202892401E-2</v>
          </cell>
          <cell r="I622">
            <v>0.120263679186335</v>
          </cell>
          <cell r="J622">
            <v>0.17170918496558801</v>
          </cell>
        </row>
        <row r="623">
          <cell r="A623" t="str">
            <v>RHES-SHCONBR2</v>
          </cell>
          <cell r="B623" t="str">
            <v>VAR_cap</v>
          </cell>
          <cell r="C623" t="str">
            <v>-</v>
          </cell>
          <cell r="D623">
            <v>3.31520119598619E-2</v>
          </cell>
          <cell r="E623">
            <v>6.6303746486876536E-2</v>
          </cell>
          <cell r="F623">
            <v>6.6311432076323049E-2</v>
          </cell>
          <cell r="G623">
            <v>6.9335830299267848E-2</v>
          </cell>
          <cell r="H623">
            <v>0.11584708622294938</v>
          </cell>
          <cell r="I623">
            <v>0.23611315313685122</v>
          </cell>
          <cell r="J623">
            <v>0.37730723723714998</v>
          </cell>
        </row>
        <row r="624">
          <cell r="A624" t="str">
            <v>ITOT-SWHCONBR4</v>
          </cell>
          <cell r="B624" t="str">
            <v>VAR_fout</v>
          </cell>
          <cell r="C624" t="str">
            <v>ITOT-ELS</v>
          </cell>
          <cell r="H624">
            <v>1.0003108923365592E-3</v>
          </cell>
          <cell r="I624">
            <v>1.560175748418238E-3</v>
          </cell>
          <cell r="J624">
            <v>1.5559695891887888E-3</v>
          </cell>
        </row>
        <row r="625">
          <cell r="A625" t="str">
            <v>ITOT-SWHCONBR4</v>
          </cell>
          <cell r="B625" t="str">
            <v>VAR_fout</v>
          </cell>
          <cell r="C625" t="str">
            <v>ITOT-SWHC</v>
          </cell>
          <cell r="H625">
            <v>1.0749879450697141E-2</v>
          </cell>
          <cell r="I625">
            <v>1.676648864456665E-2</v>
          </cell>
          <cell r="J625">
            <v>1.6721286992746796E-2</v>
          </cell>
        </row>
        <row r="626">
          <cell r="A626" t="str">
            <v>ITOT-SWHCONBR4</v>
          </cell>
          <cell r="B626" t="str">
            <v>VAR_fin</v>
          </cell>
          <cell r="C626" t="str">
            <v>CON</v>
          </cell>
          <cell r="H626">
            <v>1.1750190343033717E-2</v>
          </cell>
          <cell r="I626">
            <v>1.8326664392984891E-2</v>
          </cell>
          <cell r="J626">
            <v>1.8277256581935582E-2</v>
          </cell>
        </row>
        <row r="627">
          <cell r="A627" t="str">
            <v>ITOT-SWHCONBR4</v>
          </cell>
          <cell r="B627" t="str">
            <v>VAR_ncap</v>
          </cell>
          <cell r="C627" t="str">
            <v>-</v>
          </cell>
          <cell r="H627">
            <v>6.1343350723704396E-4</v>
          </cell>
          <cell r="I627">
            <v>3.6918490445541502E-4</v>
          </cell>
          <cell r="J627">
            <v>4.5601470900947301E-4</v>
          </cell>
        </row>
        <row r="628">
          <cell r="A628" t="str">
            <v>ITOT-SWHCONBR4</v>
          </cell>
          <cell r="B628" t="str">
            <v>VAR_cap</v>
          </cell>
          <cell r="C628" t="str">
            <v>-</v>
          </cell>
          <cell r="H628">
            <v>6.1343350723704396E-4</v>
          </cell>
          <cell r="I628">
            <v>9.8261841169245898E-4</v>
          </cell>
          <cell r="J628">
            <v>9.83423663197712E-4</v>
          </cell>
        </row>
        <row r="629">
          <cell r="A629" t="str">
            <v>D-ITOT_NKEV_GAS_ELC_CHP</v>
          </cell>
          <cell r="B629" t="str">
            <v>VAR_fout</v>
          </cell>
          <cell r="C629" t="str">
            <v>ITOT_ELC</v>
          </cell>
          <cell r="D629">
            <v>0.62476486145644394</v>
          </cell>
          <cell r="E629">
            <v>0.18095712815102022</v>
          </cell>
          <cell r="F629">
            <v>0.44103513524332366</v>
          </cell>
          <cell r="G629">
            <v>4.2369970920499586E-2</v>
          </cell>
          <cell r="H629">
            <v>0.63085352037263476</v>
          </cell>
          <cell r="I629">
            <v>0.15082090685613186</v>
          </cell>
          <cell r="J629">
            <v>0.63102011375057587</v>
          </cell>
        </row>
        <row r="630">
          <cell r="A630" t="str">
            <v>D-ITOT_NKEV_GAS_ELC_CHP</v>
          </cell>
          <cell r="B630" t="str">
            <v>VAR_fout</v>
          </cell>
          <cell r="C630" t="str">
            <v>ELC5</v>
          </cell>
          <cell r="D630">
            <v>4.5456673347009063E-2</v>
          </cell>
          <cell r="E630">
            <v>3.5568578728244378E-2</v>
          </cell>
          <cell r="F630">
            <v>3.3417528286991086E-2</v>
          </cell>
          <cell r="G630">
            <v>9.6791291603495772E-3</v>
          </cell>
          <cell r="H630">
            <v>3.9438547085149385E-2</v>
          </cell>
          <cell r="I630">
            <v>4.0970601535011947E-2</v>
          </cell>
          <cell r="J630">
            <v>3.9142166772355491E-2</v>
          </cell>
        </row>
        <row r="631">
          <cell r="A631" t="str">
            <v>D-ITOT_NKEV_GAS_ELC_CHP</v>
          </cell>
          <cell r="B631" t="str">
            <v>VAR_fin</v>
          </cell>
          <cell r="C631" t="str">
            <v>ITOT_NKEV_GAS_ELC_CHP</v>
          </cell>
          <cell r="D631">
            <v>0.67022153480345359</v>
          </cell>
          <cell r="E631">
            <v>0.2165257068792647</v>
          </cell>
          <cell r="F631">
            <v>0.47426138968811049</v>
          </cell>
          <cell r="G631">
            <v>5.1811120007294945E-2</v>
          </cell>
          <cell r="H631">
            <v>0.67029206745778391</v>
          </cell>
          <cell r="I631">
            <v>0.19179150839114378</v>
          </cell>
          <cell r="J631">
            <v>0.67016228052293147</v>
          </cell>
        </row>
        <row r="632">
          <cell r="A632" t="str">
            <v>SCOM-SHELCBR</v>
          </cell>
          <cell r="B632" t="str">
            <v>VAR_fout</v>
          </cell>
          <cell r="C632" t="str">
            <v>SCOM-SHAELCB</v>
          </cell>
          <cell r="D632">
            <v>2.3942948261139705</v>
          </cell>
          <cell r="E632">
            <v>0.59042384341414011</v>
          </cell>
          <cell r="F632">
            <v>0.52198776015302872</v>
          </cell>
          <cell r="G632">
            <v>0.30401608889524623</v>
          </cell>
          <cell r="H632">
            <v>0.26582719450411385</v>
          </cell>
          <cell r="I632">
            <v>0.21834346632994475</v>
          </cell>
          <cell r="J632">
            <v>0.15819913328691002</v>
          </cell>
        </row>
        <row r="633">
          <cell r="A633" t="str">
            <v>SCOM-SHELCBR</v>
          </cell>
          <cell r="B633" t="str">
            <v>VAR_fin</v>
          </cell>
          <cell r="C633" t="str">
            <v>SCOM_ELC</v>
          </cell>
          <cell r="D633">
            <v>2.6238847409468149</v>
          </cell>
          <cell r="E633">
            <v>0.64527196001545362</v>
          </cell>
          <cell r="F633">
            <v>1.1044682177838305</v>
          </cell>
          <cell r="G633">
            <v>0.61480768134112684</v>
          </cell>
          <cell r="H633">
            <v>0.53081232668661837</v>
          </cell>
          <cell r="I633">
            <v>0.42934727752138246</v>
          </cell>
          <cell r="J633">
            <v>0.29826331833074221</v>
          </cell>
        </row>
        <row r="634">
          <cell r="A634" t="str">
            <v>SCOM-SHELCBR</v>
          </cell>
          <cell r="B634" t="str">
            <v>VAR_ncap</v>
          </cell>
          <cell r="C634" t="str">
            <v>-</v>
          </cell>
          <cell r="D634">
            <v>9.6829738756829003E-5</v>
          </cell>
          <cell r="E634">
            <v>2.5009649616002901E-5</v>
          </cell>
          <cell r="F634">
            <v>2.6864813303570699E-5</v>
          </cell>
          <cell r="G634">
            <v>3.9002855856142701E-5</v>
          </cell>
          <cell r="H634">
            <v>2.34410331429971E-2</v>
          </cell>
          <cell r="I634">
            <v>2.7284274330457402E-3</v>
          </cell>
          <cell r="J634">
            <v>6.1898034841373403E-3</v>
          </cell>
        </row>
        <row r="635">
          <cell r="A635" t="str">
            <v>SCOM-SHELCBR</v>
          </cell>
          <cell r="B635" t="str">
            <v>VAR_cap</v>
          </cell>
          <cell r="C635" t="str">
            <v>-</v>
          </cell>
          <cell r="D635">
            <v>0.18508487809019883</v>
          </cell>
          <cell r="E635">
            <v>8.1554873922687815E-2</v>
          </cell>
          <cell r="F635">
            <v>7.32616740861914E-2</v>
          </cell>
          <cell r="G635">
            <v>4.1944413715354539E-2</v>
          </cell>
          <cell r="H635">
            <v>3.4297845137172496E-2</v>
          </cell>
          <cell r="I635">
            <v>2.6149793098811405E-2</v>
          </cell>
          <cell r="J635">
            <v>1.8046855112669357E-2</v>
          </cell>
        </row>
        <row r="636">
          <cell r="A636" t="str">
            <v>RHES-SHCONBR3</v>
          </cell>
          <cell r="B636" t="str">
            <v>VAR_fout</v>
          </cell>
          <cell r="C636" t="str">
            <v>RHES-SHCON</v>
          </cell>
          <cell r="D636">
            <v>1.6699061450551115E-2</v>
          </cell>
          <cell r="E636">
            <v>0.70683580355509579</v>
          </cell>
          <cell r="F636">
            <v>0.52069693606411482</v>
          </cell>
          <cell r="G636">
            <v>0.69595761631823272</v>
          </cell>
          <cell r="H636">
            <v>0.70237802189823129</v>
          </cell>
          <cell r="I636">
            <v>0.7034696787484791</v>
          </cell>
          <cell r="J636">
            <v>1.8366924597269882</v>
          </cell>
        </row>
        <row r="637">
          <cell r="A637" t="str">
            <v>RHES-SHCONBR3</v>
          </cell>
          <cell r="B637" t="str">
            <v>VAR_fin</v>
          </cell>
          <cell r="C637" t="str">
            <v>CON</v>
          </cell>
          <cell r="D637">
            <v>1.6699061450551115E-2</v>
          </cell>
          <cell r="E637">
            <v>0.70683580355509579</v>
          </cell>
          <cell r="F637">
            <v>0.52069693606411482</v>
          </cell>
          <cell r="G637">
            <v>0.69595761631823272</v>
          </cell>
          <cell r="H637">
            <v>0.70237802189823129</v>
          </cell>
          <cell r="I637">
            <v>0.7034696787484791</v>
          </cell>
          <cell r="J637">
            <v>1.8366924597269882</v>
          </cell>
        </row>
        <row r="638">
          <cell r="A638" t="str">
            <v>RHES-SHCONBR3</v>
          </cell>
          <cell r="B638" t="str">
            <v>VAR_ncap</v>
          </cell>
          <cell r="C638" t="str">
            <v>-</v>
          </cell>
          <cell r="D638">
            <v>2.30879617156814E-3</v>
          </cell>
          <cell r="E638">
            <v>5.4753876563152698E-2</v>
          </cell>
          <cell r="F638">
            <v>3.1535719694432901E-6</v>
          </cell>
          <cell r="G638">
            <v>6.53668542545251E-6</v>
          </cell>
          <cell r="H638">
            <v>2.4529691655932402E-6</v>
          </cell>
          <cell r="I638">
            <v>2.2421421703970001E-6</v>
          </cell>
          <cell r="J638">
            <v>0.11564202787041999</v>
          </cell>
        </row>
        <row r="639">
          <cell r="A639" t="str">
            <v>RHES-SHCONBR3</v>
          </cell>
          <cell r="B639" t="str">
            <v>VAR_cap</v>
          </cell>
          <cell r="C639" t="str">
            <v>-</v>
          </cell>
          <cell r="D639">
            <v>2.30879617156814E-3</v>
          </cell>
          <cell r="E639">
            <v>5.7062445207837771E-2</v>
          </cell>
          <cell r="F639">
            <v>5.7056866748792429E-2</v>
          </cell>
          <cell r="G639">
            <v>5.7064857150923354E-2</v>
          </cell>
          <cell r="H639">
            <v>5.7066977436801322E-2</v>
          </cell>
          <cell r="I639">
            <v>5.7071447725043474E-2</v>
          </cell>
          <cell r="J639">
            <v>0.14846320666508095</v>
          </cell>
        </row>
        <row r="640">
          <cell r="A640" t="str">
            <v>ITOT-SWHCONBR5</v>
          </cell>
          <cell r="B640" t="str">
            <v>VAR_fout</v>
          </cell>
          <cell r="C640" t="str">
            <v>ITOT-ELS</v>
          </cell>
          <cell r="H640">
            <v>1.772921833389415E-3</v>
          </cell>
          <cell r="I640">
            <v>2.7938161094541187E-3</v>
          </cell>
          <cell r="J640">
            <v>2.7857076412015945E-3</v>
          </cell>
        </row>
        <row r="641">
          <cell r="A641" t="str">
            <v>ITOT-SWHCONBR5</v>
          </cell>
          <cell r="B641" t="str">
            <v>VAR_fout</v>
          </cell>
          <cell r="C641" t="str">
            <v>ITOT-SWHC</v>
          </cell>
          <cell r="H641">
            <v>8.6959625974669733E-3</v>
          </cell>
          <cell r="I641">
            <v>1.3703322918398195E-2</v>
          </cell>
          <cell r="J641">
            <v>1.3663551883195879E-2</v>
          </cell>
        </row>
        <row r="642">
          <cell r="A642" t="str">
            <v>ITOT-SWHCONBR5</v>
          </cell>
          <cell r="B642" t="str">
            <v>VAR_fin</v>
          </cell>
          <cell r="C642" t="str">
            <v>CON</v>
          </cell>
          <cell r="H642">
            <v>1.0468884430856395E-2</v>
          </cell>
          <cell r="I642">
            <v>1.6497139027852308E-2</v>
          </cell>
          <cell r="J642">
            <v>1.6449259524397467E-2</v>
          </cell>
        </row>
        <row r="643">
          <cell r="A643" t="str">
            <v>ITOT-SWHCONBR5</v>
          </cell>
          <cell r="B643" t="str">
            <v>VAR_ncap</v>
          </cell>
          <cell r="C643" t="str">
            <v>-</v>
          </cell>
          <cell r="H643">
            <v>5.4690952080444898E-4</v>
          </cell>
          <cell r="I643">
            <v>3.3450050162106998E-4</v>
          </cell>
          <cell r="J643">
            <v>4.0961755346340302E-4</v>
          </cell>
        </row>
        <row r="644">
          <cell r="A644" t="str">
            <v>ITOT-SWHCONBR5</v>
          </cell>
          <cell r="B644" t="str">
            <v>VAR_cap</v>
          </cell>
          <cell r="C644" t="str">
            <v>-</v>
          </cell>
          <cell r="H644">
            <v>5.4690952080444898E-4</v>
          </cell>
          <cell r="I644">
            <v>8.8141002242551902E-4</v>
          </cell>
          <cell r="J644">
            <v>8.8371558331212005E-4</v>
          </cell>
        </row>
        <row r="645">
          <cell r="A645" t="str">
            <v>RHES-SHSTG-ELC</v>
          </cell>
          <cell r="B645" t="str">
            <v>VAR_fout</v>
          </cell>
          <cell r="C645" t="str">
            <v>RHES-SHAELCB</v>
          </cell>
          <cell r="D645">
            <v>0.5295596947952369</v>
          </cell>
          <cell r="E645">
            <v>0.630687366147066</v>
          </cell>
          <cell r="F645">
            <v>0.17941661416046192</v>
          </cell>
          <cell r="G645">
            <v>3.6137951837761938E-2</v>
          </cell>
          <cell r="H645">
            <v>8.2872131768004398E-4</v>
          </cell>
          <cell r="I645">
            <v>2.2093695497162278E-4</v>
          </cell>
          <cell r="J645">
            <v>1.5828896768129371E-4</v>
          </cell>
        </row>
        <row r="646">
          <cell r="A646" t="str">
            <v>RHES-SHSTG-ELC</v>
          </cell>
          <cell r="B646" t="str">
            <v>VAR_fout</v>
          </cell>
          <cell r="C646" t="str">
            <v>AUX_RHES-SHSTG-ELC_OUT</v>
          </cell>
          <cell r="D646">
            <v>0.53008925449003208</v>
          </cell>
          <cell r="E646">
            <v>0.6313180535132128</v>
          </cell>
          <cell r="F646">
            <v>0.17959603077462241</v>
          </cell>
          <cell r="G646">
            <v>3.6174089789599712E-2</v>
          </cell>
          <cell r="H646">
            <v>8.2955003899772418E-4</v>
          </cell>
          <cell r="I646">
            <v>2.2115789192659439E-4</v>
          </cell>
          <cell r="J646">
            <v>1.58447256648975E-4</v>
          </cell>
        </row>
        <row r="647">
          <cell r="A647" t="str">
            <v>RHES-SHSTG-ELC</v>
          </cell>
          <cell r="B647" t="str">
            <v>VAR_fin</v>
          </cell>
          <cell r="C647" t="str">
            <v>RHES-SHAELCB</v>
          </cell>
          <cell r="D647">
            <v>0.5297928129241225</v>
          </cell>
          <cell r="E647">
            <v>0.63067963797189186</v>
          </cell>
          <cell r="F647">
            <v>0.17938942916815809</v>
          </cell>
          <cell r="G647">
            <v>3.6128416633502997E-2</v>
          </cell>
          <cell r="H647">
            <v>8.4048405475964372E-4</v>
          </cell>
          <cell r="I647">
            <v>2.3584990613070514E-4</v>
          </cell>
          <cell r="J647">
            <v>1.6834395769230526E-4</v>
          </cell>
        </row>
        <row r="648">
          <cell r="A648" t="str">
            <v>RHES-SHSTG-ELC</v>
          </cell>
          <cell r="B648" t="str">
            <v>VAR_ncap</v>
          </cell>
          <cell r="C648" t="str">
            <v>-</v>
          </cell>
          <cell r="D648">
            <v>6.88739305719369E-2</v>
          </cell>
          <cell r="E648">
            <v>3.2641418207871698E-4</v>
          </cell>
          <cell r="F648">
            <v>1.5052972513668E-4</v>
          </cell>
          <cell r="G648">
            <v>2.49891745982145E-4</v>
          </cell>
          <cell r="H648">
            <v>3.0069609969804901E-4</v>
          </cell>
          <cell r="I648">
            <v>1.5022993189835499E-4</v>
          </cell>
          <cell r="J648">
            <v>7.8281246783441194E-5</v>
          </cell>
        </row>
        <row r="649">
          <cell r="A649" t="str">
            <v>RHES-SHSTG-ELC</v>
          </cell>
          <cell r="B649" t="str">
            <v>VAR_cap</v>
          </cell>
          <cell r="C649" t="str">
            <v>-</v>
          </cell>
          <cell r="D649">
            <v>6.88739305719369E-2</v>
          </cell>
          <cell r="E649">
            <v>6.4071779155801201E-2</v>
          </cell>
          <cell r="F649">
            <v>2.0330805347952695E-2</v>
          </cell>
          <cell r="G649">
            <v>4.8407277420970118E-3</v>
          </cell>
          <cell r="H649">
            <v>3.649265582111004E-4</v>
          </cell>
          <cell r="I649">
            <v>9.322226436724501E-5</v>
          </cell>
          <cell r="J649">
            <v>5.0910602193380975E-5</v>
          </cell>
        </row>
        <row r="650">
          <cell r="A650" t="str">
            <v>RHES-SHCONBR4</v>
          </cell>
          <cell r="B650" t="str">
            <v>VAR_fout</v>
          </cell>
          <cell r="C650" t="str">
            <v>RHES-SHCON</v>
          </cell>
          <cell r="E650">
            <v>0.42719032628686981</v>
          </cell>
          <cell r="F650">
            <v>0.26974016444879834</v>
          </cell>
          <cell r="G650">
            <v>0.41754170204253577</v>
          </cell>
          <cell r="H650">
            <v>0.4229898426191287</v>
          </cell>
          <cell r="I650">
            <v>0.42396659656042174</v>
          </cell>
          <cell r="J650">
            <v>0.24599393984032722</v>
          </cell>
        </row>
        <row r="651">
          <cell r="A651" t="str">
            <v>RHES-SHCONBR4</v>
          </cell>
          <cell r="B651" t="str">
            <v>VAR_fin</v>
          </cell>
          <cell r="C651" t="str">
            <v>CON</v>
          </cell>
          <cell r="E651">
            <v>0.42719032628686981</v>
          </cell>
          <cell r="F651">
            <v>0.26974016444879834</v>
          </cell>
          <cell r="G651">
            <v>0.41754170204253577</v>
          </cell>
          <cell r="H651">
            <v>0.4229898426191287</v>
          </cell>
          <cell r="I651">
            <v>0.42396659656042174</v>
          </cell>
          <cell r="J651">
            <v>0.24599393984032722</v>
          </cell>
        </row>
        <row r="652">
          <cell r="A652" t="str">
            <v>RHES-SHCONBR4</v>
          </cell>
          <cell r="B652" t="str">
            <v>VAR_ncap</v>
          </cell>
          <cell r="C652" t="str">
            <v>-</v>
          </cell>
          <cell r="E652">
            <v>3.4471174280925797E-2</v>
          </cell>
          <cell r="F652">
            <v>3.8389121687232898E-6</v>
          </cell>
          <cell r="G652">
            <v>4.2276104040918802E-6</v>
          </cell>
          <cell r="H652">
            <v>1.74268662648958E-6</v>
          </cell>
          <cell r="I652">
            <v>1.23180678336049E-6</v>
          </cell>
          <cell r="J652">
            <v>1.28415696525153E-5</v>
          </cell>
        </row>
        <row r="653">
          <cell r="A653" t="str">
            <v>RHES-SHCONBR4</v>
          </cell>
          <cell r="B653" t="str">
            <v>VAR_cap</v>
          </cell>
          <cell r="C653" t="str">
            <v>-</v>
          </cell>
          <cell r="E653">
            <v>3.4471174280925797E-2</v>
          </cell>
          <cell r="F653">
            <v>3.447161791036446E-2</v>
          </cell>
          <cell r="G653">
            <v>3.4474278481411359E-2</v>
          </cell>
          <cell r="H653">
            <v>3.4476289819173708E-2</v>
          </cell>
          <cell r="I653">
            <v>3.4477902805290228E-2</v>
          </cell>
          <cell r="J653">
            <v>1.9948081996822936E-2</v>
          </cell>
        </row>
        <row r="654">
          <cell r="A654" t="str">
            <v>ITOT-SWHCONBR6</v>
          </cell>
          <cell r="B654" t="str">
            <v>VAR_fout</v>
          </cell>
          <cell r="C654" t="str">
            <v>ITOT-SWHC</v>
          </cell>
          <cell r="I654">
            <v>8.2378661174811116E-3</v>
          </cell>
          <cell r="J654">
            <v>8.1812317038449794E-3</v>
          </cell>
        </row>
        <row r="655">
          <cell r="A655" t="str">
            <v>ITOT-SWHCONBR6</v>
          </cell>
          <cell r="B655" t="str">
            <v>VAR_fin</v>
          </cell>
          <cell r="C655" t="str">
            <v>CON</v>
          </cell>
          <cell r="I655">
            <v>8.2378661174811116E-3</v>
          </cell>
          <cell r="J655">
            <v>8.1812317038449794E-3</v>
          </cell>
        </row>
        <row r="656">
          <cell r="A656" t="str">
            <v>ITOT-SWHCONBR6</v>
          </cell>
          <cell r="B656" t="str">
            <v>VAR_ncap</v>
          </cell>
          <cell r="C656" t="str">
            <v>-</v>
          </cell>
          <cell r="I656">
            <v>4.32773591700378E-4</v>
          </cell>
          <cell r="J656">
            <v>1.18869905832451E-4</v>
          </cell>
        </row>
        <row r="657">
          <cell r="A657" t="str">
            <v>ITOT-SWHCONBR6</v>
          </cell>
          <cell r="B657" t="str">
            <v>VAR_cap</v>
          </cell>
          <cell r="C657" t="str">
            <v>-</v>
          </cell>
          <cell r="I657">
            <v>4.32773591700378E-4</v>
          </cell>
          <cell r="J657">
            <v>4.3294820957752401E-4</v>
          </cell>
        </row>
        <row r="658">
          <cell r="A658" t="str">
            <v>RHNM-SHNGAHP</v>
          </cell>
          <cell r="B658" t="str">
            <v>VAR_fout</v>
          </cell>
          <cell r="C658" t="str">
            <v>CO2_R</v>
          </cell>
          <cell r="F658">
            <v>7.8353906385904102</v>
          </cell>
          <cell r="G658">
            <v>19.908045329006899</v>
          </cell>
          <cell r="H658">
            <v>27.881776346250199</v>
          </cell>
          <cell r="I658">
            <v>34.258100795292599</v>
          </cell>
          <cell r="J658">
            <v>39.493709347659298</v>
          </cell>
        </row>
        <row r="659">
          <cell r="A659" t="str">
            <v>RHNM-SHNGAHP</v>
          </cell>
          <cell r="B659" t="str">
            <v>VAR_fout</v>
          </cell>
          <cell r="C659" t="str">
            <v>RHNM-SHANGAH</v>
          </cell>
          <cell r="F659">
            <v>0.26832022199109917</v>
          </cell>
          <cell r="G659">
            <v>0.70512638953435258</v>
          </cell>
          <cell r="H659">
            <v>1.0011233795037575</v>
          </cell>
          <cell r="I659">
            <v>1.2485418761496894</v>
          </cell>
          <cell r="J659">
            <v>1.484397892914036</v>
          </cell>
        </row>
        <row r="660">
          <cell r="A660" t="str">
            <v>RHNM-SHNGAHP</v>
          </cell>
          <cell r="B660" t="str">
            <v>VAR_fin</v>
          </cell>
          <cell r="C660" t="str">
            <v>RNGA</v>
          </cell>
          <cell r="F660">
            <v>0.13892536593245411</v>
          </cell>
          <cell r="G660">
            <v>0.35297952711005165</v>
          </cell>
          <cell r="H660">
            <v>0.49435773663564103</v>
          </cell>
          <cell r="I660">
            <v>0.60741313466830815</v>
          </cell>
          <cell r="J660">
            <v>0.70024307354005833</v>
          </cell>
        </row>
        <row r="661">
          <cell r="A661" t="str">
            <v>RHNM-SHNGAHP</v>
          </cell>
          <cell r="B661" t="str">
            <v>VAR_fin</v>
          </cell>
          <cell r="C661" t="str">
            <v>RHNMELCHPC</v>
          </cell>
          <cell r="F661">
            <v>0.26832022199109917</v>
          </cell>
          <cell r="G661">
            <v>0.70512638953435258</v>
          </cell>
          <cell r="H661">
            <v>1.0011233795037575</v>
          </cell>
          <cell r="I661">
            <v>1.2485418761496894</v>
          </cell>
          <cell r="J661">
            <v>1.484397892914036</v>
          </cell>
        </row>
        <row r="662">
          <cell r="A662" t="str">
            <v>RHNM-SHNGAHP</v>
          </cell>
          <cell r="B662" t="str">
            <v>VAR_ncap</v>
          </cell>
          <cell r="C662" t="str">
            <v>-</v>
          </cell>
          <cell r="E662">
            <v>2.2913636467667201E-5</v>
          </cell>
          <cell r="F662">
            <v>2.2597040185519002E-2</v>
          </cell>
          <cell r="G662">
            <v>3.30596398867994E-2</v>
          </cell>
          <cell r="H662">
            <v>2.39410162536331E-2</v>
          </cell>
          <cell r="I662">
            <v>4.9057259422380699E-2</v>
          </cell>
          <cell r="J662">
            <v>7.0768536989174596E-2</v>
          </cell>
        </row>
        <row r="663">
          <cell r="A663" t="str">
            <v>RHNM-SHNGAHP</v>
          </cell>
          <cell r="B663" t="str">
            <v>VAR_cap</v>
          </cell>
          <cell r="C663" t="str">
            <v>-</v>
          </cell>
          <cell r="E663">
            <v>2.2913636467667201E-5</v>
          </cell>
          <cell r="F663">
            <v>2.2616894191404936E-2</v>
          </cell>
          <cell r="G663">
            <v>5.5674508474238327E-2</v>
          </cell>
          <cell r="H663">
            <v>7.95948988536202E-2</v>
          </cell>
          <cell r="I663">
            <v>9.9569175874483273E-2</v>
          </cell>
          <cell r="J663">
            <v>0.11649319277519558</v>
          </cell>
        </row>
        <row r="664">
          <cell r="A664" t="str">
            <v>RHES-SHCONBR5</v>
          </cell>
          <cell r="B664" t="str">
            <v>VAR_fout</v>
          </cell>
          <cell r="C664" t="str">
            <v>RHES-SHCON</v>
          </cell>
          <cell r="E664">
            <v>1.219398144412339E-2</v>
          </cell>
          <cell r="F664">
            <v>5.7618477899008744E-3</v>
          </cell>
          <cell r="G664">
            <v>7.9357623612823242E-3</v>
          </cell>
          <cell r="H664">
            <v>9.5263491553376212E-3</v>
          </cell>
          <cell r="I664">
            <v>1.0071649249664255E-2</v>
          </cell>
          <cell r="J664">
            <v>6.2160240300213644E-3</v>
          </cell>
        </row>
        <row r="665">
          <cell r="A665" t="str">
            <v>RHES-SHCONBR5</v>
          </cell>
          <cell r="B665" t="str">
            <v>VAR_fin</v>
          </cell>
          <cell r="C665" t="str">
            <v>CON</v>
          </cell>
          <cell r="E665">
            <v>1.219398144412339E-2</v>
          </cell>
          <cell r="F665">
            <v>5.7618477899008744E-3</v>
          </cell>
          <cell r="G665">
            <v>7.9357623612823242E-3</v>
          </cell>
          <cell r="H665">
            <v>9.5263491553376212E-3</v>
          </cell>
          <cell r="I665">
            <v>1.0071649249664255E-2</v>
          </cell>
          <cell r="J665">
            <v>6.2160240300213644E-3</v>
          </cell>
        </row>
        <row r="666">
          <cell r="A666" t="str">
            <v>RHES-SHCONBR5</v>
          </cell>
          <cell r="B666" t="str">
            <v>VAR_ncap</v>
          </cell>
          <cell r="C666" t="str">
            <v>-</v>
          </cell>
          <cell r="E666">
            <v>9.42221424470084E-4</v>
          </cell>
          <cell r="F666">
            <v>4.3802656029921201E-6</v>
          </cell>
          <cell r="G666">
            <v>3.2652298940248502E-6</v>
          </cell>
          <cell r="H666">
            <v>9.8030485743465506E-7</v>
          </cell>
          <cell r="I666">
            <v>7.5665411899463002E-7</v>
          </cell>
          <cell r="J666">
            <v>2.32156304143718E-6</v>
          </cell>
        </row>
        <row r="667">
          <cell r="A667" t="str">
            <v>RHES-SHCONBR5</v>
          </cell>
          <cell r="B667" t="str">
            <v>VAR_cap</v>
          </cell>
          <cell r="C667" t="str">
            <v>-</v>
          </cell>
          <cell r="E667">
            <v>9.42221424470084E-4</v>
          </cell>
          <cell r="F667">
            <v>9.4496067151163135E-4</v>
          </cell>
          <cell r="G667">
            <v>9.4678829516984457E-4</v>
          </cell>
          <cell r="H667">
            <v>9.4729355690389636E-4</v>
          </cell>
          <cell r="I667">
            <v>9.4795248776572121E-4</v>
          </cell>
          <cell r="J667">
            <v>5.5306154596415397E-4</v>
          </cell>
        </row>
        <row r="668">
          <cell r="A668" t="str">
            <v>RHNS-SHCONBR</v>
          </cell>
          <cell r="B668" t="str">
            <v>VAR_fout</v>
          </cell>
          <cell r="C668" t="str">
            <v>RHNS-SHCON</v>
          </cell>
          <cell r="F668">
            <v>2.1804404966817584E-2</v>
          </cell>
          <cell r="G668">
            <v>2.1784211677031373E-2</v>
          </cell>
          <cell r="H668">
            <v>2.4626714860505806E-2</v>
          </cell>
          <cell r="I668">
            <v>2.656002919064674E-2</v>
          </cell>
          <cell r="J668">
            <v>2.6309800984479926E-2</v>
          </cell>
        </row>
        <row r="669">
          <cell r="A669" t="str">
            <v>RHNS-SHCONBR</v>
          </cell>
          <cell r="B669" t="str">
            <v>VAR_fin</v>
          </cell>
          <cell r="C669" t="str">
            <v>CON</v>
          </cell>
          <cell r="F669">
            <v>2.1804404966817584E-2</v>
          </cell>
          <cell r="G669">
            <v>2.1784211677031373E-2</v>
          </cell>
          <cell r="H669">
            <v>2.4626714860505806E-2</v>
          </cell>
          <cell r="I669">
            <v>2.656002919064674E-2</v>
          </cell>
          <cell r="J669">
            <v>2.6309800984479926E-2</v>
          </cell>
        </row>
        <row r="670">
          <cell r="A670" t="str">
            <v>RHNS-SHCONBR</v>
          </cell>
          <cell r="B670" t="str">
            <v>VAR_ncap</v>
          </cell>
          <cell r="C670" t="str">
            <v>-</v>
          </cell>
          <cell r="E670">
            <v>9.1127285801447301E-7</v>
          </cell>
          <cell r="F670">
            <v>1.6262558745084601E-3</v>
          </cell>
          <cell r="G670">
            <v>5.2673782255271703E-6</v>
          </cell>
          <cell r="H670">
            <v>2.1145998930683599E-4</v>
          </cell>
          <cell r="I670">
            <v>1.21005970674019E-4</v>
          </cell>
          <cell r="J670">
            <v>1.18177636729728E-6</v>
          </cell>
        </row>
        <row r="671">
          <cell r="A671" t="str">
            <v>RHNS-SHCONBR</v>
          </cell>
          <cell r="B671" t="str">
            <v>VAR_cap</v>
          </cell>
          <cell r="C671" t="str">
            <v>-</v>
          </cell>
          <cell r="E671">
            <v>9.1127285801447301E-7</v>
          </cell>
          <cell r="F671">
            <v>1.6267066060078916E-3</v>
          </cell>
          <cell r="G671">
            <v>1.6315006195571852E-3</v>
          </cell>
          <cell r="H671">
            <v>1.8421886220566933E-3</v>
          </cell>
          <cell r="I671">
            <v>1.9631990766688328E-3</v>
          </cell>
          <cell r="J671">
            <v>1.9651189173783929E-3</v>
          </cell>
        </row>
        <row r="672">
          <cell r="A672" t="str">
            <v>D-RHEM_SOLELC</v>
          </cell>
          <cell r="B672" t="str">
            <v>VAR_fout</v>
          </cell>
          <cell r="C672" t="str">
            <v>ELC5</v>
          </cell>
          <cell r="D672">
            <v>3.0602681631719215E-2</v>
          </cell>
          <cell r="E672">
            <v>1.363613888344716E-2</v>
          </cell>
          <cell r="F672">
            <v>1.5015768203766993E-2</v>
          </cell>
          <cell r="G672">
            <v>9.4164082334484266E-3</v>
          </cell>
          <cell r="H672">
            <v>1.8361965205644148E-2</v>
          </cell>
          <cell r="I672">
            <v>6.3042827518337702E-2</v>
          </cell>
          <cell r="J672">
            <v>7.1272691781815167E-2</v>
          </cell>
        </row>
        <row r="673">
          <cell r="A673" t="str">
            <v>D-RHEM_SOLELC</v>
          </cell>
          <cell r="B673" t="str">
            <v>VAR_fout</v>
          </cell>
          <cell r="C673" t="str">
            <v>RHEM_ELC</v>
          </cell>
          <cell r="D673">
            <v>0.83188054415412926</v>
          </cell>
          <cell r="E673">
            <v>1.2740056510112312</v>
          </cell>
          <cell r="F673">
            <v>1.5284333443975464</v>
          </cell>
          <cell r="G673">
            <v>1.6636362413438959</v>
          </cell>
          <cell r="H673">
            <v>1.7466963552886028</v>
          </cell>
          <cell r="I673">
            <v>5.6746051703375127</v>
          </cell>
          <cell r="J673">
            <v>6.1727440760680841</v>
          </cell>
        </row>
        <row r="674">
          <cell r="A674" t="str">
            <v>D-RHEM_SOLELC</v>
          </cell>
          <cell r="B674" t="str">
            <v>VAR_fin</v>
          </cell>
          <cell r="C674" t="str">
            <v>RHEM_SOL_ELC</v>
          </cell>
          <cell r="D674">
            <v>0.86248322578584768</v>
          </cell>
          <cell r="E674">
            <v>1.2875876906677814</v>
          </cell>
          <cell r="F674">
            <v>1.5434491126013148</v>
          </cell>
          <cell r="G674">
            <v>1.6730526495773443</v>
          </cell>
          <cell r="H674">
            <v>1.765058320494246</v>
          </cell>
          <cell r="I674">
            <v>5.7376479978558477</v>
          </cell>
          <cell r="J674">
            <v>6.2440167678499039</v>
          </cell>
        </row>
        <row r="675">
          <cell r="A675" t="str">
            <v>ITOT-SWHCONBR7</v>
          </cell>
          <cell r="B675" t="str">
            <v>VAR_fout</v>
          </cell>
          <cell r="C675" t="str">
            <v>ITOT-ELS</v>
          </cell>
          <cell r="J675">
            <v>0.28857237126714569</v>
          </cell>
        </row>
        <row r="676">
          <cell r="A676" t="str">
            <v>ITOT-SWHCONBR7</v>
          </cell>
          <cell r="B676" t="str">
            <v>VAR_fout</v>
          </cell>
          <cell r="C676" t="str">
            <v>ITOT-SWHC</v>
          </cell>
          <cell r="J676">
            <v>5.0320572282824209E-2</v>
          </cell>
        </row>
        <row r="677">
          <cell r="A677" t="str">
            <v>ITOT-SWHCONBR7</v>
          </cell>
          <cell r="B677" t="str">
            <v>VAR_fin</v>
          </cell>
          <cell r="C677" t="str">
            <v>CON</v>
          </cell>
          <cell r="J677">
            <v>0.33889294354997002</v>
          </cell>
        </row>
        <row r="678">
          <cell r="A678" t="str">
            <v>ITOT-SWHCONBR7</v>
          </cell>
          <cell r="B678" t="str">
            <v>VAR_ncap</v>
          </cell>
          <cell r="C678" t="str">
            <v>-</v>
          </cell>
          <cell r="J678">
            <v>1.8425087430001898E-2</v>
          </cell>
        </row>
        <row r="679">
          <cell r="A679" t="str">
            <v>ITOT-SWHCONBR7</v>
          </cell>
          <cell r="B679" t="str">
            <v>VAR_cap</v>
          </cell>
          <cell r="C679" t="str">
            <v>-</v>
          </cell>
          <cell r="J679">
            <v>1.8425087430001898E-2</v>
          </cell>
        </row>
        <row r="680">
          <cell r="A680" t="str">
            <v>RHNS-SHSTG-ELCHP</v>
          </cell>
          <cell r="B680" t="str">
            <v>VAR_fout</v>
          </cell>
          <cell r="C680" t="str">
            <v>RHNS-SHAELCH</v>
          </cell>
          <cell r="E680">
            <v>2.5162947845215836E-3</v>
          </cell>
          <cell r="F680">
            <v>9.1472312291248595E-2</v>
          </cell>
          <cell r="G680">
            <v>0.18618338565279194</v>
          </cell>
          <cell r="H680">
            <v>0.16280076219592507</v>
          </cell>
          <cell r="I680">
            <v>0.25586168242670643</v>
          </cell>
          <cell r="J680">
            <v>0.34451577612601214</v>
          </cell>
        </row>
        <row r="681">
          <cell r="A681" t="str">
            <v>RHNS-SHSTG-ELCHP</v>
          </cell>
          <cell r="B681" t="str">
            <v>VAR_fout</v>
          </cell>
          <cell r="C681" t="str">
            <v>AUX_RHNS-SHSTG-ELCHP_OUT</v>
          </cell>
          <cell r="E681">
            <v>2.5188110793061052E-3</v>
          </cell>
          <cell r="F681">
            <v>9.1563784603539811E-2</v>
          </cell>
          <cell r="G681">
            <v>0.18636956903844473</v>
          </cell>
          <cell r="H681">
            <v>0.16296356295812098</v>
          </cell>
          <cell r="I681">
            <v>0.25611754410913318</v>
          </cell>
          <cell r="J681">
            <v>0.34486029190213768</v>
          </cell>
        </row>
        <row r="682">
          <cell r="A682" t="str">
            <v>RHNS-SHSTG-ELCHP</v>
          </cell>
          <cell r="B682" t="str">
            <v>VAR_fin</v>
          </cell>
          <cell r="C682" t="str">
            <v>RHNS-SHAELCH</v>
          </cell>
          <cell r="E682">
            <v>2.5564377092235978E-3</v>
          </cell>
          <cell r="F682">
            <v>9.1460945652685657E-2</v>
          </cell>
          <cell r="G682">
            <v>0.18623201290343983</v>
          </cell>
          <cell r="H682">
            <v>0.16287666259466932</v>
          </cell>
          <cell r="I682">
            <v>0.25595327299316467</v>
          </cell>
          <cell r="J682">
            <v>0.34461062266255443</v>
          </cell>
        </row>
        <row r="683">
          <cell r="A683" t="str">
            <v>RHNS-SHSTG-ELCHP</v>
          </cell>
          <cell r="B683" t="str">
            <v>VAR_ncap</v>
          </cell>
          <cell r="C683" t="str">
            <v>-</v>
          </cell>
          <cell r="D683">
            <v>3.5059836027373498E-4</v>
          </cell>
          <cell r="E683">
            <v>4.7122400688783E-4</v>
          </cell>
          <cell r="F683">
            <v>1.3975954719076899E-2</v>
          </cell>
          <cell r="G683">
            <v>8.3662255275539204E-3</v>
          </cell>
          <cell r="H683">
            <v>7.30979140562523E-3</v>
          </cell>
          <cell r="I683">
            <v>1.96481274032408E-2</v>
          </cell>
          <cell r="J683">
            <v>2.5141390903580099E-2</v>
          </cell>
        </row>
        <row r="684">
          <cell r="A684" t="str">
            <v>RHNS-SHSTG-ELCHP</v>
          </cell>
          <cell r="B684" t="str">
            <v>VAR_cap</v>
          </cell>
          <cell r="C684" t="str">
            <v>-</v>
          </cell>
          <cell r="D684">
            <v>3.5059836027373498E-4</v>
          </cell>
          <cell r="E684">
            <v>6.1120747221287699E-4</v>
          </cell>
          <cell r="F684">
            <v>1.436895489819014E-2</v>
          </cell>
          <cell r="G684">
            <v>2.2454725487949131E-2</v>
          </cell>
          <cell r="H684">
            <v>2.876899991836426E-2</v>
          </cell>
          <cell r="I684">
            <v>3.40946022045217E-2</v>
          </cell>
          <cell r="J684">
            <v>4.187744045731101E-2</v>
          </cell>
        </row>
        <row r="685">
          <cell r="A685" t="str">
            <v>RHNS-SHSOLBR</v>
          </cell>
          <cell r="B685" t="str">
            <v>VAR_fout</v>
          </cell>
          <cell r="C685" t="str">
            <v>RHNS-SHASOL</v>
          </cell>
          <cell r="E685">
            <v>1.3504348156846839E-2</v>
          </cell>
          <cell r="F685">
            <v>2.1808879269080136E-4</v>
          </cell>
          <cell r="G685">
            <v>3.2929264949403512E-4</v>
          </cell>
          <cell r="H685">
            <v>3.0432361620090633E-4</v>
          </cell>
          <cell r="I685">
            <v>3.0337961423395308E-4</v>
          </cell>
          <cell r="J685">
            <v>5.5031872549270958E-4</v>
          </cell>
        </row>
        <row r="686">
          <cell r="A686" t="str">
            <v>RHNS-SHSOLBR</v>
          </cell>
          <cell r="B686" t="str">
            <v>VAR_fin</v>
          </cell>
          <cell r="C686" t="str">
            <v>SOL</v>
          </cell>
          <cell r="E686">
            <v>1.3504348156846839E-2</v>
          </cell>
          <cell r="F686">
            <v>2.1808879269080136E-4</v>
          </cell>
          <cell r="G686">
            <v>3.2929264949403512E-4</v>
          </cell>
          <cell r="H686">
            <v>3.0432361620090633E-4</v>
          </cell>
          <cell r="I686">
            <v>3.0337961423395308E-4</v>
          </cell>
          <cell r="J686">
            <v>5.5031872549270958E-4</v>
          </cell>
        </row>
        <row r="687">
          <cell r="A687" t="str">
            <v>RHNS-SHSOLBR</v>
          </cell>
          <cell r="B687" t="str">
            <v>VAR_ncap</v>
          </cell>
          <cell r="C687" t="str">
            <v>-</v>
          </cell>
          <cell r="E687">
            <v>2.9730898061927202E-3</v>
          </cell>
          <cell r="F687">
            <v>7.8337957806922298E-4</v>
          </cell>
          <cell r="G687">
            <v>2.38610303247884E-3</v>
          </cell>
          <cell r="H687">
            <v>1.70905423232125E-4</v>
          </cell>
          <cell r="I687">
            <v>5.3890265069170501E-4</v>
          </cell>
          <cell r="J687">
            <v>1.1327662801622099E-3</v>
          </cell>
        </row>
        <row r="688">
          <cell r="A688" t="str">
            <v>RHNS-SHSOLBR</v>
          </cell>
          <cell r="B688" t="str">
            <v>VAR_cap</v>
          </cell>
          <cell r="C688" t="str">
            <v>-</v>
          </cell>
          <cell r="E688">
            <v>2.9730898061927202E-3</v>
          </cell>
          <cell r="F688">
            <v>3.747653372951821E-3</v>
          </cell>
          <cell r="G688">
            <v>6.1134384955136463E-3</v>
          </cell>
          <cell r="H688">
            <v>4.834410456736965E-3</v>
          </cell>
          <cell r="I688">
            <v>2.4686312240867485E-3</v>
          </cell>
          <cell r="J688">
            <v>1.5913606537968385E-3</v>
          </cell>
        </row>
        <row r="689">
          <cell r="A689" t="str">
            <v>RHES-SHPLTBR</v>
          </cell>
          <cell r="B689" t="str">
            <v>VAR_fout</v>
          </cell>
          <cell r="C689" t="str">
            <v>RHES-SHPLT</v>
          </cell>
          <cell r="D689">
            <v>1.295854771101246</v>
          </cell>
          <cell r="E689">
            <v>1.4869235109984249</v>
          </cell>
          <cell r="F689">
            <v>3.1218965082513234E-2</v>
          </cell>
          <cell r="G689">
            <v>3.9855511800673302E-2</v>
          </cell>
          <cell r="H689">
            <v>4.4080522791272322E-2</v>
          </cell>
          <cell r="I689">
            <v>4.965737702321802E-2</v>
          </cell>
          <cell r="J689">
            <v>4.4599042618430937E-2</v>
          </cell>
        </row>
        <row r="690">
          <cell r="A690" t="str">
            <v>RHES-SHPLTBR</v>
          </cell>
          <cell r="B690" t="str">
            <v>VAR_fin</v>
          </cell>
          <cell r="C690" t="str">
            <v>RPLT</v>
          </cell>
          <cell r="D690">
            <v>1.4398386345569405</v>
          </cell>
          <cell r="E690">
            <v>1.6521372344426937</v>
          </cell>
          <cell r="F690">
            <v>4.2499048757309296E-2</v>
          </cell>
          <cell r="G690">
            <v>5.3878263845427141E-2</v>
          </cell>
          <cell r="H690">
            <v>5.9267439135641795E-2</v>
          </cell>
          <cell r="I690">
            <v>6.6113541271583587E-2</v>
          </cell>
          <cell r="J690">
            <v>5.8294830873594605E-2</v>
          </cell>
        </row>
        <row r="691">
          <cell r="A691" t="str">
            <v>RHES-SHPLTBR</v>
          </cell>
          <cell r="B691" t="str">
            <v>VAR_ncap</v>
          </cell>
          <cell r="C691" t="str">
            <v>-</v>
          </cell>
          <cell r="E691">
            <v>1.5549782633415299E-2</v>
          </cell>
          <cell r="F691">
            <v>1.4255671636628001E-6</v>
          </cell>
          <cell r="G691">
            <v>2.0478858254826799E-5</v>
          </cell>
          <cell r="H691">
            <v>1.1991573411629199E-3</v>
          </cell>
          <cell r="I691">
            <v>3.0317235792392998E-3</v>
          </cell>
          <cell r="J691">
            <v>1.0178889561429699E-3</v>
          </cell>
        </row>
        <row r="692">
          <cell r="A692" t="str">
            <v>RHES-SHPLTBR</v>
          </cell>
          <cell r="B692" t="str">
            <v>VAR_cap</v>
          </cell>
          <cell r="C692" t="str">
            <v>-</v>
          </cell>
          <cell r="D692">
            <v>0.104681131456585</v>
          </cell>
          <cell r="E692">
            <v>0.12023014126059102</v>
          </cell>
          <cell r="F692">
            <v>5.1320592504229962E-3</v>
          </cell>
          <cell r="G692">
            <v>5.1489561694068042E-3</v>
          </cell>
          <cell r="H692">
            <v>3.8446841449319147E-3</v>
          </cell>
          <cell r="I692">
            <v>4.2401972236099225E-3</v>
          </cell>
          <cell r="J692">
            <v>3.7231074795563983E-3</v>
          </cell>
        </row>
        <row r="693">
          <cell r="A693" t="str">
            <v>RHES-SHCONBR6</v>
          </cell>
          <cell r="B693" t="str">
            <v>VAR_fout</v>
          </cell>
          <cell r="C693" t="str">
            <v>RHES-SHCON</v>
          </cell>
          <cell r="E693">
            <v>4.702164922596082E-3</v>
          </cell>
          <cell r="F693">
            <v>2.3301709820210351E-3</v>
          </cell>
          <cell r="G693">
            <v>2.547739063032618E-3</v>
          </cell>
          <cell r="H693">
            <v>3.1725811509712839E-3</v>
          </cell>
          <cell r="I693">
            <v>3.3555548406647671E-3</v>
          </cell>
          <cell r="J693">
            <v>2.1672568806109329E-3</v>
          </cell>
        </row>
        <row r="694">
          <cell r="A694" t="str">
            <v>RHES-SHCONBR6</v>
          </cell>
          <cell r="B694" t="str">
            <v>VAR_fin</v>
          </cell>
          <cell r="C694" t="str">
            <v>CON</v>
          </cell>
          <cell r="E694">
            <v>4.702164922596082E-3</v>
          </cell>
          <cell r="F694">
            <v>2.3301709820210351E-3</v>
          </cell>
          <cell r="G694">
            <v>2.547739063032618E-3</v>
          </cell>
          <cell r="H694">
            <v>3.1725811509712839E-3</v>
          </cell>
          <cell r="I694">
            <v>3.3555548406647671E-3</v>
          </cell>
          <cell r="J694">
            <v>2.1672568806109329E-3</v>
          </cell>
        </row>
        <row r="695">
          <cell r="A695" t="str">
            <v>RHES-SHCONBR6</v>
          </cell>
          <cell r="B695" t="str">
            <v>VAR_ncap</v>
          </cell>
          <cell r="C695" t="str">
            <v>-</v>
          </cell>
          <cell r="E695">
            <v>3.3464388712328502E-4</v>
          </cell>
          <cell r="F695">
            <v>4.5663551966776498E-6</v>
          </cell>
          <cell r="G695">
            <v>4.1168360612629897E-6</v>
          </cell>
          <cell r="H695">
            <v>7.4127520406158104E-7</v>
          </cell>
          <cell r="I695">
            <v>5.7815495565137797E-7</v>
          </cell>
          <cell r="J695">
            <v>9.8245702698756808E-7</v>
          </cell>
        </row>
        <row r="696">
          <cell r="A696" t="str">
            <v>RHES-SHCONBR6</v>
          </cell>
          <cell r="B696" t="str">
            <v>VAR_cap</v>
          </cell>
          <cell r="C696" t="str">
            <v>-</v>
          </cell>
          <cell r="E696">
            <v>3.3464388712328502E-4</v>
          </cell>
          <cell r="F696">
            <v>3.3834867549139869E-4</v>
          </cell>
          <cell r="G696">
            <v>3.4163853170315103E-4</v>
          </cell>
          <cell r="H696">
            <v>3.4175192109478893E-4</v>
          </cell>
          <cell r="I696">
            <v>3.4198540953921336E-4</v>
          </cell>
          <cell r="J696">
            <v>2.0159359622804799E-4</v>
          </cell>
        </row>
        <row r="697">
          <cell r="A697" t="str">
            <v>RHSA-WHPLTBR</v>
          </cell>
          <cell r="B697" t="str">
            <v>VAR_fout</v>
          </cell>
          <cell r="C697" t="str">
            <v>RHSA-WHPLT</v>
          </cell>
          <cell r="D697">
            <v>0.16989588833677452</v>
          </cell>
          <cell r="E697">
            <v>0.19486198069243321</v>
          </cell>
          <cell r="F697">
            <v>7.5218280477073046E-2</v>
          </cell>
          <cell r="G697">
            <v>0.10246029685402656</v>
          </cell>
          <cell r="H697">
            <v>0.11497732526493928</v>
          </cell>
          <cell r="I697">
            <v>0.13337998528901565</v>
          </cell>
          <cell r="J697">
            <v>0.1338113885778231</v>
          </cell>
        </row>
        <row r="698">
          <cell r="A698" t="str">
            <v>RHSA-WHPLTBR</v>
          </cell>
          <cell r="B698" t="str">
            <v>VAR_fin</v>
          </cell>
          <cell r="C698" t="str">
            <v>RPLT</v>
          </cell>
          <cell r="D698">
            <v>0.27183342133883914</v>
          </cell>
          <cell r="E698">
            <v>0.31177916910789288</v>
          </cell>
          <cell r="F698">
            <v>0.16632247930164906</v>
          </cell>
          <cell r="G698">
            <v>0.22171337589810897</v>
          </cell>
          <cell r="H698">
            <v>0.24458773074716569</v>
          </cell>
          <cell r="I698">
            <v>0.27702685661190163</v>
          </cell>
          <cell r="J698">
            <v>0.26739448243480823</v>
          </cell>
        </row>
        <row r="699">
          <cell r="A699" t="str">
            <v>RHSA-WHPLTBR</v>
          </cell>
          <cell r="B699" t="str">
            <v>VAR_ncap</v>
          </cell>
          <cell r="C699" t="str">
            <v>-</v>
          </cell>
          <cell r="E699">
            <v>2.0553897283731399E-3</v>
          </cell>
          <cell r="F699">
            <v>2.8160175840249901E-6</v>
          </cell>
          <cell r="G699">
            <v>5.5789752107580097E-5</v>
          </cell>
          <cell r="H699">
            <v>5.1543637670751399E-3</v>
          </cell>
          <cell r="I699">
            <v>4.2613067975601901E-3</v>
          </cell>
          <cell r="J699">
            <v>4.0833458704561598E-3</v>
          </cell>
        </row>
        <row r="700">
          <cell r="A700" t="str">
            <v>RHSA-WHPLTBR</v>
          </cell>
          <cell r="B700" t="str">
            <v>VAR_cap</v>
          </cell>
          <cell r="C700" t="str">
            <v>-</v>
          </cell>
          <cell r="D700">
            <v>1.12410901121583E-2</v>
          </cell>
          <cell r="E700">
            <v>1.3295010748235789E-2</v>
          </cell>
          <cell r="F700">
            <v>9.7550191575930291E-3</v>
          </cell>
          <cell r="G700">
            <v>9.8012393293849514E-3</v>
          </cell>
          <cell r="H700">
            <v>8.2405302738208803E-3</v>
          </cell>
          <cell r="I700">
            <v>9.4459368275739818E-3</v>
          </cell>
          <cell r="J700">
            <v>9.3520477860262186E-3</v>
          </cell>
        </row>
        <row r="701">
          <cell r="A701" t="str">
            <v>ITOT-SWHCONBR8</v>
          </cell>
          <cell r="B701" t="str">
            <v>VAR_fout</v>
          </cell>
          <cell r="C701" t="str">
            <v>ITOT-ELS</v>
          </cell>
          <cell r="J701">
            <v>9.5952217130942149E-4</v>
          </cell>
        </row>
        <row r="702">
          <cell r="A702" t="str">
            <v>ITOT-SWHCONBR8</v>
          </cell>
          <cell r="B702" t="str">
            <v>VAR_fout</v>
          </cell>
          <cell r="C702" t="str">
            <v>ITOT-SWHC</v>
          </cell>
          <cell r="J702">
            <v>3.7047349977923079E-3</v>
          </cell>
        </row>
        <row r="703">
          <cell r="A703" t="str">
            <v>ITOT-SWHCONBR8</v>
          </cell>
          <cell r="B703" t="str">
            <v>VAR_fin</v>
          </cell>
          <cell r="C703" t="str">
            <v>CON</v>
          </cell>
          <cell r="J703">
            <v>4.6642571691017289E-3</v>
          </cell>
        </row>
        <row r="704">
          <cell r="A704" t="str">
            <v>ITOT-SWHCONBR8</v>
          </cell>
          <cell r="B704" t="str">
            <v>VAR_ncap</v>
          </cell>
          <cell r="C704" t="str">
            <v>-</v>
          </cell>
          <cell r="J704">
            <v>2.39368402753215E-4</v>
          </cell>
        </row>
        <row r="705">
          <cell r="A705" t="str">
            <v>ITOT-SWHCONBR8</v>
          </cell>
          <cell r="B705" t="str">
            <v>VAR_cap</v>
          </cell>
          <cell r="C705" t="str">
            <v>-</v>
          </cell>
          <cell r="J705">
            <v>2.39368402753215E-4</v>
          </cell>
        </row>
        <row r="706">
          <cell r="A706" t="str">
            <v>D-SCOM_KEV_HFC_ELC_CHP</v>
          </cell>
          <cell r="B706" t="str">
            <v>VAR_fout</v>
          </cell>
          <cell r="C706" t="str">
            <v>ELC5</v>
          </cell>
          <cell r="G706">
            <v>6.1531255565292712E-3</v>
          </cell>
          <cell r="H706">
            <v>1.0008914265603566E-2</v>
          </cell>
          <cell r="I706">
            <v>9.2255190690913383E-3</v>
          </cell>
          <cell r="J706">
            <v>6.0769556431174918E-3</v>
          </cell>
        </row>
        <row r="707">
          <cell r="A707" t="str">
            <v>D-SCOM_KEV_HFC_ELC_CHP</v>
          </cell>
          <cell r="B707" t="str">
            <v>VAR_fout</v>
          </cell>
          <cell r="C707" t="str">
            <v>SCOM_ELC</v>
          </cell>
          <cell r="G707">
            <v>3.5615049735319093E-2</v>
          </cell>
          <cell r="H707">
            <v>3.2328713777826076E-2</v>
          </cell>
          <cell r="I707">
            <v>3.6546213093861073E-2</v>
          </cell>
          <cell r="J707">
            <v>2.7261951925990787E-2</v>
          </cell>
        </row>
        <row r="708">
          <cell r="A708" t="str">
            <v>D-SCOM_KEV_HFC_ELC_CHP</v>
          </cell>
          <cell r="B708" t="str">
            <v>VAR_fin</v>
          </cell>
          <cell r="C708" t="str">
            <v>SCOM_KEV_HFC_ELC_CHP</v>
          </cell>
          <cell r="G708">
            <v>4.153084339351247E-2</v>
          </cell>
          <cell r="H708">
            <v>4.2069369448235208E-2</v>
          </cell>
          <cell r="I708">
            <v>4.5559261549061349E-2</v>
          </cell>
          <cell r="J708">
            <v>3.31706434913226E-2</v>
          </cell>
        </row>
        <row r="709">
          <cell r="A709" t="str">
            <v>D-EH2R</v>
          </cell>
          <cell r="B709" t="str">
            <v>VAR_fout</v>
          </cell>
          <cell r="C709" t="str">
            <v>EH2</v>
          </cell>
          <cell r="I709">
            <v>7.5231098083459319E-2</v>
          </cell>
          <cell r="J709">
            <v>7.2695614714307355E-2</v>
          </cell>
        </row>
        <row r="710">
          <cell r="A710" t="str">
            <v>D-EH2R</v>
          </cell>
          <cell r="B710" t="str">
            <v>VAR_fin</v>
          </cell>
          <cell r="C710" t="str">
            <v>H2</v>
          </cell>
          <cell r="I710">
            <v>7.5231098083459319E-2</v>
          </cell>
          <cell r="J710">
            <v>7.2695614714307355E-2</v>
          </cell>
        </row>
        <row r="711">
          <cell r="A711" t="str">
            <v>D-EH2R</v>
          </cell>
          <cell r="B711" t="str">
            <v>VAR_ncap</v>
          </cell>
          <cell r="C711" t="str">
            <v>-</v>
          </cell>
          <cell r="H711">
            <v>2.4974600786690299E-5</v>
          </cell>
          <cell r="I711">
            <v>7.8927152429410907E-3</v>
          </cell>
          <cell r="J711">
            <v>4.12788610555703E-3</v>
          </cell>
        </row>
        <row r="712">
          <cell r="A712" t="str">
            <v>D-EH2R</v>
          </cell>
          <cell r="B712" t="str">
            <v>VAR_cap</v>
          </cell>
          <cell r="C712" t="str">
            <v>-</v>
          </cell>
          <cell r="H712">
            <v>2.4974600786690299E-5</v>
          </cell>
          <cell r="I712">
            <v>7.8971387922651091E-3</v>
          </cell>
          <cell r="J712">
            <v>6.8313087707672897E-3</v>
          </cell>
        </row>
        <row r="713">
          <cell r="A713" t="str">
            <v>SCOM-ELCSPECADV</v>
          </cell>
          <cell r="B713" t="str">
            <v>VAR_fout</v>
          </cell>
          <cell r="C713" t="str">
            <v>SCOM-ELS</v>
          </cell>
          <cell r="F713">
            <v>0.12775472640594937</v>
          </cell>
          <cell r="G713">
            <v>7.2037354353215646</v>
          </cell>
          <cell r="H713">
            <v>9.5334693624506297</v>
          </cell>
          <cell r="I713">
            <v>11.670756415220705</v>
          </cell>
          <cell r="J713">
            <v>15.078254096888426</v>
          </cell>
        </row>
        <row r="714">
          <cell r="A714" t="str">
            <v>SCOM-ELCSPECADV</v>
          </cell>
          <cell r="B714" t="str">
            <v>VAR_fin</v>
          </cell>
          <cell r="C714" t="str">
            <v>SCOM_ELC</v>
          </cell>
          <cell r="F714">
            <v>8.5169817603966275E-2</v>
          </cell>
          <cell r="G714">
            <v>4.8024902902143802</v>
          </cell>
          <cell r="H714">
            <v>6.3556462416337567</v>
          </cell>
          <cell r="I714">
            <v>7.7805042768138089</v>
          </cell>
          <cell r="J714">
            <v>10.052169397925605</v>
          </cell>
        </row>
        <row r="715">
          <cell r="A715" t="str">
            <v>SCOM-ELCSPECADV</v>
          </cell>
          <cell r="B715" t="str">
            <v>VAR_ncap</v>
          </cell>
          <cell r="C715" t="str">
            <v>-</v>
          </cell>
          <cell r="F715">
            <v>1.35160441509259E-2</v>
          </cell>
          <cell r="G715">
            <v>0.74791168923540896</v>
          </cell>
          <cell r="H715">
            <v>0.246257318036263</v>
          </cell>
          <cell r="I715">
            <v>0.225913001266799</v>
          </cell>
          <cell r="J715">
            <v>0.62762648910524899</v>
          </cell>
        </row>
        <row r="716">
          <cell r="A716" t="str">
            <v>SCOM-ELCSPECADV</v>
          </cell>
          <cell r="B716" t="str">
            <v>VAR_cap</v>
          </cell>
          <cell r="C716" t="str">
            <v>-</v>
          </cell>
          <cell r="F716">
            <v>1.35160441509259E-2</v>
          </cell>
          <cell r="G716">
            <v>0.76142640080978685</v>
          </cell>
          <cell r="H716">
            <v>1.0076798488607979</v>
          </cell>
          <cell r="I716">
            <v>1.2335875273544308</v>
          </cell>
          <cell r="J716">
            <v>1.5937591017116997</v>
          </cell>
        </row>
        <row r="717">
          <cell r="A717" t="str">
            <v>RHSA-WHLTHRD</v>
          </cell>
          <cell r="B717" t="str">
            <v>VAR_fout</v>
          </cell>
          <cell r="C717" t="str">
            <v>RHSA-WHLTHRD</v>
          </cell>
          <cell r="D717">
            <v>1.317421798800231</v>
          </cell>
          <cell r="E717">
            <v>1.4634149442644346</v>
          </cell>
          <cell r="F717">
            <v>0.95822315729957919</v>
          </cell>
          <cell r="G717">
            <v>1.4685529170094489</v>
          </cell>
          <cell r="H717">
            <v>1.691296241656431</v>
          </cell>
          <cell r="I717">
            <v>1.9678652574345392</v>
          </cell>
          <cell r="J717">
            <v>2.1740260077481506</v>
          </cell>
        </row>
        <row r="718">
          <cell r="A718" t="str">
            <v>RHSA-WHLTHRD</v>
          </cell>
          <cell r="B718" t="str">
            <v>VAR_fin</v>
          </cell>
          <cell r="C718" t="str">
            <v>RHSA_LTH</v>
          </cell>
          <cell r="D718">
            <v>1.7109374010392615</v>
          </cell>
          <cell r="E718">
            <v>1.8956152127777661</v>
          </cell>
          <cell r="F718">
            <v>1.7692406828360636</v>
          </cell>
          <cell r="G718">
            <v>2.6270673376655354</v>
          </cell>
          <cell r="H718">
            <v>2.9821383181373973</v>
          </cell>
          <cell r="I718">
            <v>3.424190234674144</v>
          </cell>
          <cell r="J718">
            <v>3.6974043320068222</v>
          </cell>
        </row>
        <row r="719">
          <cell r="A719" t="str">
            <v>RHSA-WHLTHRD</v>
          </cell>
          <cell r="B719" t="str">
            <v>VAR_ncap</v>
          </cell>
          <cell r="C719" t="str">
            <v>-</v>
          </cell>
          <cell r="E719">
            <v>0.11911678118655999</v>
          </cell>
          <cell r="F719">
            <v>5.8668189307129803E-2</v>
          </cell>
          <cell r="G719">
            <v>6.9455517172225895E-2</v>
          </cell>
          <cell r="H719">
            <v>9.8900040210645801E-2</v>
          </cell>
          <cell r="I719">
            <v>0.135608381102027</v>
          </cell>
          <cell r="J719">
            <v>0.14150416940549601</v>
          </cell>
        </row>
        <row r="720">
          <cell r="A720" t="str">
            <v>RHSA-WHLTHRD</v>
          </cell>
          <cell r="B720" t="str">
            <v>VAR_cap</v>
          </cell>
          <cell r="C720" t="str">
            <v>-</v>
          </cell>
          <cell r="D720">
            <v>0.13737412127568699</v>
          </cell>
          <cell r="E720">
            <v>0.16392851959142299</v>
          </cell>
          <cell r="F720">
            <v>0.10992729029965595</v>
          </cell>
          <cell r="G720">
            <v>0.13192841266689098</v>
          </cell>
          <cell r="H720">
            <v>0.17750542173317102</v>
          </cell>
          <cell r="I720">
            <v>0.23506341246074097</v>
          </cell>
          <cell r="J720">
            <v>0.25502295846188983</v>
          </cell>
        </row>
        <row r="721">
          <cell r="A721" t="str">
            <v>RHES-SHCONBR7</v>
          </cell>
          <cell r="B721" t="str">
            <v>VAR_fout</v>
          </cell>
          <cell r="C721" t="str">
            <v>RHES-SHCON</v>
          </cell>
          <cell r="E721">
            <v>4.5334515276114424E-3</v>
          </cell>
          <cell r="F721">
            <v>2.2504229887761245E-3</v>
          </cell>
          <cell r="G721">
            <v>2.4407068667816854E-3</v>
          </cell>
          <cell r="H721">
            <v>3.0413751328506968E-3</v>
          </cell>
          <cell r="I721">
            <v>3.2145188421648535E-3</v>
          </cell>
          <cell r="J721">
            <v>2.0805141960767558E-3</v>
          </cell>
        </row>
        <row r="722">
          <cell r="A722" t="str">
            <v>RHES-SHCONBR7</v>
          </cell>
          <cell r="B722" t="str">
            <v>VAR_fin</v>
          </cell>
          <cell r="C722" t="str">
            <v>CON</v>
          </cell>
          <cell r="E722">
            <v>4.5334515276114424E-3</v>
          </cell>
          <cell r="F722">
            <v>2.2504229887761245E-3</v>
          </cell>
          <cell r="G722">
            <v>2.4407068667816854E-3</v>
          </cell>
          <cell r="H722">
            <v>3.0413751328506968E-3</v>
          </cell>
          <cell r="I722">
            <v>3.2145188421648535E-3</v>
          </cell>
          <cell r="J722">
            <v>2.0805141960767558E-3</v>
          </cell>
        </row>
        <row r="723">
          <cell r="A723" t="str">
            <v>RHES-SHCONBR7</v>
          </cell>
          <cell r="B723" t="str">
            <v>VAR_ncap</v>
          </cell>
          <cell r="C723" t="str">
            <v>-</v>
          </cell>
          <cell r="E723">
            <v>3.2086524258227099E-4</v>
          </cell>
          <cell r="F723">
            <v>4.7181008282527197E-6</v>
          </cell>
          <cell r="G723">
            <v>3.8281603245428699E-6</v>
          </cell>
          <cell r="H723">
            <v>7.3147761425323099E-7</v>
          </cell>
          <cell r="I723">
            <v>5.7096997004336696E-7</v>
          </cell>
          <cell r="J723">
            <v>9.7167147599938699E-7</v>
          </cell>
        </row>
        <row r="724">
          <cell r="A724" t="str">
            <v>RHES-SHCONBR7</v>
          </cell>
          <cell r="B724" t="str">
            <v>VAR_cap</v>
          </cell>
          <cell r="C724" t="str">
            <v>-</v>
          </cell>
          <cell r="E724">
            <v>3.2086524258227099E-4</v>
          </cell>
          <cell r="F724">
            <v>3.2474141210250547E-4</v>
          </cell>
          <cell r="G724">
            <v>3.2776507424980725E-4</v>
          </cell>
          <cell r="H724">
            <v>3.2787167812590789E-4</v>
          </cell>
          <cell r="I724">
            <v>3.2809532302798439E-4</v>
          </cell>
          <cell r="J724">
            <v>1.9345459022175449E-4</v>
          </cell>
        </row>
        <row r="725">
          <cell r="A725" t="str">
            <v>ITOT-SWHCONBR9</v>
          </cell>
          <cell r="B725" t="str">
            <v>VAR_fout</v>
          </cell>
          <cell r="C725" t="str">
            <v>ITOT-ELS</v>
          </cell>
          <cell r="J725">
            <v>4.7070036543945761E-4</v>
          </cell>
        </row>
        <row r="726">
          <cell r="A726" t="str">
            <v>ITOT-SWHCONBR9</v>
          </cell>
          <cell r="B726" t="str">
            <v>VAR_fout</v>
          </cell>
          <cell r="C726" t="str">
            <v>ITOT-SWHC</v>
          </cell>
          <cell r="J726">
            <v>2.7319421146882739E-3</v>
          </cell>
        </row>
        <row r="727">
          <cell r="A727" t="str">
            <v>ITOT-SWHCONBR9</v>
          </cell>
          <cell r="B727" t="str">
            <v>VAR_fin</v>
          </cell>
          <cell r="C727" t="str">
            <v>CON</v>
          </cell>
          <cell r="J727">
            <v>3.202642480127733E-3</v>
          </cell>
        </row>
        <row r="728">
          <cell r="A728" t="str">
            <v>ITOT-SWHCONBR9</v>
          </cell>
          <cell r="B728" t="str">
            <v>VAR_ncap</v>
          </cell>
          <cell r="C728" t="str">
            <v>-</v>
          </cell>
          <cell r="J728">
            <v>1.5985781837008701E-4</v>
          </cell>
        </row>
        <row r="729">
          <cell r="A729" t="str">
            <v>ITOT-SWHCONBR9</v>
          </cell>
          <cell r="B729" t="str">
            <v>VAR_cap</v>
          </cell>
          <cell r="C729" t="str">
            <v>-</v>
          </cell>
          <cell r="J729">
            <v>1.5985781837008701E-4</v>
          </cell>
        </row>
        <row r="730">
          <cell r="A730" t="str">
            <v>SCOM-SHPLTBR</v>
          </cell>
          <cell r="B730" t="str">
            <v>VAR_fout</v>
          </cell>
          <cell r="C730" t="str">
            <v>SCOM-SHPLT</v>
          </cell>
          <cell r="D730">
            <v>1.8771506481142195</v>
          </cell>
          <cell r="E730">
            <v>2.1601257705803349</v>
          </cell>
          <cell r="F730">
            <v>0.36389940041924101</v>
          </cell>
          <cell r="G730">
            <v>0.47075826318942304</v>
          </cell>
          <cell r="H730">
            <v>0.55067018125800105</v>
          </cell>
          <cell r="I730">
            <v>0.71175550133104226</v>
          </cell>
          <cell r="J730">
            <v>0.73431783870908807</v>
          </cell>
        </row>
        <row r="731">
          <cell r="A731" t="str">
            <v>SCOM-SHPLTBR</v>
          </cell>
          <cell r="B731" t="str">
            <v>VAR_fin</v>
          </cell>
          <cell r="C731" t="str">
            <v>SCOMPLTBRC</v>
          </cell>
          <cell r="D731">
            <v>1.8771506481142195</v>
          </cell>
          <cell r="E731">
            <v>2.1601257705803349</v>
          </cell>
          <cell r="F731">
            <v>0.36389940041924101</v>
          </cell>
          <cell r="G731">
            <v>0.47075826318942304</v>
          </cell>
          <cell r="H731">
            <v>0.55067018125800105</v>
          </cell>
          <cell r="I731">
            <v>0.71175550133104226</v>
          </cell>
          <cell r="J731">
            <v>0.73431783870908807</v>
          </cell>
        </row>
        <row r="732">
          <cell r="A732" t="str">
            <v>SCOM-SHPLTBR</v>
          </cell>
          <cell r="B732" t="str">
            <v>VAR_fin</v>
          </cell>
          <cell r="C732" t="str">
            <v>SPLT</v>
          </cell>
          <cell r="D732">
            <v>2.085722942349133</v>
          </cell>
          <cell r="E732">
            <v>2.4001397450892603</v>
          </cell>
          <cell r="F732">
            <v>0.55263559063612044</v>
          </cell>
          <cell r="G732">
            <v>0.71187208479320641</v>
          </cell>
          <cell r="H732">
            <v>0.82403515484801937</v>
          </cell>
          <cell r="I732">
            <v>1.0493339945128586</v>
          </cell>
          <cell r="J732">
            <v>1.0770210024951972</v>
          </cell>
        </row>
        <row r="733">
          <cell r="A733" t="str">
            <v>SCOM-SHPLTBR</v>
          </cell>
          <cell r="B733" t="str">
            <v>VAR_ncap</v>
          </cell>
          <cell r="C733" t="str">
            <v>-</v>
          </cell>
          <cell r="D733">
            <v>2.42001420874426E-5</v>
          </cell>
          <cell r="E733">
            <v>2.6296532478893402E-2</v>
          </cell>
          <cell r="F733">
            <v>7.1920069004541697E-6</v>
          </cell>
          <cell r="G733">
            <v>1.2354847035082E-4</v>
          </cell>
          <cell r="H733">
            <v>2.6563161249790801E-2</v>
          </cell>
          <cell r="I733">
            <v>3.4095646131080799E-2</v>
          </cell>
          <cell r="J733">
            <v>2.6129909425879599E-2</v>
          </cell>
        </row>
        <row r="734">
          <cell r="A734" t="str">
            <v>SCOM-SHPLTBR</v>
          </cell>
          <cell r="B734" t="str">
            <v>VAR_cap</v>
          </cell>
          <cell r="C734" t="str">
            <v>-</v>
          </cell>
          <cell r="D734">
            <v>0.15053506826628146</v>
          </cell>
          <cell r="E734">
            <v>0.17682883389726675</v>
          </cell>
          <cell r="F734">
            <v>5.3415176111420312E-2</v>
          </cell>
          <cell r="G734">
            <v>5.3496630464142103E-2</v>
          </cell>
          <cell r="H734">
            <v>4.7128038551611295E-2</v>
          </cell>
          <cell r="I734">
            <v>6.0727610019926763E-2</v>
          </cell>
          <cell r="J734">
            <v>6.2100770636975236E-2</v>
          </cell>
        </row>
        <row r="735">
          <cell r="A735" t="str">
            <v>ITOT-SWHELCHP</v>
          </cell>
          <cell r="B735" t="str">
            <v>VAR_fout</v>
          </cell>
          <cell r="C735" t="str">
            <v>ITOT-SWHAELCH</v>
          </cell>
          <cell r="D735">
            <v>1.1089658977082459</v>
          </cell>
          <cell r="E735">
            <v>1.4009596081921354</v>
          </cell>
          <cell r="F735">
            <v>2.5872197533277985</v>
          </cell>
          <cell r="G735">
            <v>6.1196187278782199</v>
          </cell>
          <cell r="H735">
            <v>7.1241064974452311</v>
          </cell>
          <cell r="I735">
            <v>7.1510980652294061</v>
          </cell>
          <cell r="J735">
            <v>10.985126953951735</v>
          </cell>
        </row>
        <row r="736">
          <cell r="A736" t="str">
            <v>ITOT-SWHELCHP</v>
          </cell>
          <cell r="B736" t="str">
            <v>VAR_fin</v>
          </cell>
          <cell r="C736" t="str">
            <v>ITOT_ELC</v>
          </cell>
          <cell r="D736">
            <v>0.35993931544795071</v>
          </cell>
          <cell r="E736">
            <v>0.45111663226873028</v>
          </cell>
          <cell r="F736">
            <v>0.8233330057928927</v>
          </cell>
          <cell r="G736">
            <v>1.910132472519898</v>
          </cell>
          <cell r="H736">
            <v>2.1818553224150228</v>
          </cell>
          <cell r="I736">
            <v>2.1497020421991948</v>
          </cell>
          <cell r="J736">
            <v>3.1847043774483832</v>
          </cell>
        </row>
        <row r="737">
          <cell r="A737" t="str">
            <v>ITOT-SWHELCHP</v>
          </cell>
          <cell r="B737" t="str">
            <v>VAR_fin</v>
          </cell>
          <cell r="C737" t="str">
            <v>ITOTELCHPC</v>
          </cell>
          <cell r="D737">
            <v>1.1089658977082459</v>
          </cell>
          <cell r="E737">
            <v>1.4009596081921354</v>
          </cell>
          <cell r="F737">
            <v>2.5872197533277985</v>
          </cell>
          <cell r="G737">
            <v>6.1196187278782199</v>
          </cell>
          <cell r="H737">
            <v>7.1241064974452311</v>
          </cell>
          <cell r="I737">
            <v>7.1510980652294061</v>
          </cell>
          <cell r="J737">
            <v>10.985126953951735</v>
          </cell>
        </row>
        <row r="738">
          <cell r="A738" t="str">
            <v>ITOT-SWHELCHP</v>
          </cell>
          <cell r="B738" t="str">
            <v>VAR_ncap</v>
          </cell>
          <cell r="C738" t="str">
            <v>-</v>
          </cell>
          <cell r="E738">
            <v>1.9640885298630301E-2</v>
          </cell>
          <cell r="F738">
            <v>6.46038229487539E-2</v>
          </cell>
          <cell r="G738">
            <v>0.19045187201719899</v>
          </cell>
          <cell r="H738">
            <v>0.110148257767477</v>
          </cell>
          <cell r="I738">
            <v>0.148973436456597</v>
          </cell>
          <cell r="J738">
            <v>0.45648716449239801</v>
          </cell>
        </row>
        <row r="739">
          <cell r="A739" t="str">
            <v>ITOT-SWHELCHP</v>
          </cell>
          <cell r="B739" t="str">
            <v>VAR_cap</v>
          </cell>
          <cell r="C739" t="str">
            <v>-</v>
          </cell>
          <cell r="D739">
            <v>6.02631234918991E-2</v>
          </cell>
          <cell r="E739">
            <v>7.9896500982636717E-2</v>
          </cell>
          <cell r="F739">
            <v>0.14448120733309161</v>
          </cell>
          <cell r="G739">
            <v>0.33492623162922935</v>
          </cell>
          <cell r="H739">
            <v>0.39079807943908618</v>
          </cell>
          <cell r="I739">
            <v>0.40037926457609035</v>
          </cell>
          <cell r="J739">
            <v>0.61039341989344797</v>
          </cell>
        </row>
        <row r="740">
          <cell r="A740" t="str">
            <v>RHES-SHCONBR8</v>
          </cell>
          <cell r="B740" t="str">
            <v>VAR_fout</v>
          </cell>
          <cell r="C740" t="str">
            <v>RHES-SHCON</v>
          </cell>
          <cell r="E740">
            <v>1.1216755770109611E-3</v>
          </cell>
          <cell r="F740">
            <v>8.1062154735503877E-4</v>
          </cell>
          <cell r="G740">
            <v>6.7606058836596871E-4</v>
          </cell>
          <cell r="H740">
            <v>8.7302876645287413E-4</v>
          </cell>
          <cell r="I740">
            <v>8.5539195404111721E-4</v>
          </cell>
          <cell r="J740">
            <v>6.3181916283377147E-4</v>
          </cell>
        </row>
        <row r="741">
          <cell r="A741" t="str">
            <v>RHES-SHCONBR8</v>
          </cell>
          <cell r="B741" t="str">
            <v>VAR_fin</v>
          </cell>
          <cell r="C741" t="str">
            <v>CON</v>
          </cell>
          <cell r="E741">
            <v>1.1216755770109611E-3</v>
          </cell>
          <cell r="F741">
            <v>8.1062154735503877E-4</v>
          </cell>
          <cell r="G741">
            <v>6.7606058836596871E-4</v>
          </cell>
          <cell r="H741">
            <v>8.7302876645287413E-4</v>
          </cell>
          <cell r="I741">
            <v>8.5539195404111721E-4</v>
          </cell>
          <cell r="J741">
            <v>6.3181916283377147E-4</v>
          </cell>
        </row>
        <row r="742">
          <cell r="A742" t="str">
            <v>RHES-SHCONBR8</v>
          </cell>
          <cell r="B742" t="str">
            <v>VAR_ncap</v>
          </cell>
          <cell r="C742" t="str">
            <v>-</v>
          </cell>
          <cell r="E742">
            <v>4.2193557851983697E-5</v>
          </cell>
          <cell r="F742">
            <v>2.1417783969150799E-5</v>
          </cell>
          <cell r="G742">
            <v>3.0326668421138501E-6</v>
          </cell>
          <cell r="H742">
            <v>4.7715003409294903E-7</v>
          </cell>
          <cell r="I742">
            <v>3.2857033762492602E-7</v>
          </cell>
          <cell r="J742">
            <v>4.52013135773269E-7</v>
          </cell>
        </row>
        <row r="743">
          <cell r="A743" t="str">
            <v>RHES-SHCONBR8</v>
          </cell>
          <cell r="B743" t="str">
            <v>VAR_cap</v>
          </cell>
          <cell r="C743" t="str">
            <v>-</v>
          </cell>
          <cell r="E743">
            <v>4.2193557851983697E-5</v>
          </cell>
          <cell r="F743">
            <v>6.3226625670363928E-5</v>
          </cell>
          <cell r="G743">
            <v>6.5943015748488846E-5</v>
          </cell>
          <cell r="H743">
            <v>6.6009277839292166E-5</v>
          </cell>
          <cell r="I743">
            <v>6.6092871347604384E-5</v>
          </cell>
          <cell r="J743">
            <v>4.4662537448613812E-5</v>
          </cell>
        </row>
        <row r="744">
          <cell r="A744" t="str">
            <v>RHEM-SHWODBR</v>
          </cell>
          <cell r="B744" t="str">
            <v>VAR_fout</v>
          </cell>
          <cell r="C744" t="str">
            <v>RHEM-SHWOD</v>
          </cell>
          <cell r="D744">
            <v>4.7440122738783943</v>
          </cell>
          <cell r="E744">
            <v>4.9451563845499908</v>
          </cell>
          <cell r="F744">
            <v>4.9531760160823399</v>
          </cell>
          <cell r="G744">
            <v>4.4940201702551414</v>
          </cell>
          <cell r="H744">
            <v>3.9052706181030574</v>
          </cell>
          <cell r="I744">
            <v>3.3011839126872351</v>
          </cell>
          <cell r="J744">
            <v>1.9393192600324656</v>
          </cell>
        </row>
        <row r="745">
          <cell r="A745" t="str">
            <v>RHEM-SHWODBR</v>
          </cell>
          <cell r="B745" t="str">
            <v>VAR_fin</v>
          </cell>
          <cell r="C745" t="str">
            <v>RHEMWODBRC</v>
          </cell>
          <cell r="D745">
            <v>4.7440122738783943</v>
          </cell>
          <cell r="E745">
            <v>4.9451563845499908</v>
          </cell>
          <cell r="F745">
            <v>4.9531760160823399</v>
          </cell>
          <cell r="G745">
            <v>4.4940201702551414</v>
          </cell>
          <cell r="H745">
            <v>3.9052706181030574</v>
          </cell>
          <cell r="I745">
            <v>3.3011839126872351</v>
          </cell>
          <cell r="J745">
            <v>1.9393192600324656</v>
          </cell>
        </row>
        <row r="746">
          <cell r="A746" t="str">
            <v>RHEM-SHWODBR</v>
          </cell>
          <cell r="B746" t="str">
            <v>VAR_fin</v>
          </cell>
          <cell r="C746" t="str">
            <v>RWOD</v>
          </cell>
          <cell r="D746">
            <v>6.5889059359422104</v>
          </cell>
          <cell r="E746">
            <v>6.8682727563194339</v>
          </cell>
          <cell r="F746">
            <v>6.8534670364147772</v>
          </cell>
          <cell r="G746">
            <v>6.1941692434873925</v>
          </cell>
          <cell r="H746">
            <v>5.3826877124976464</v>
          </cell>
          <cell r="I746">
            <v>4.5500667741555105</v>
          </cell>
          <cell r="J746">
            <v>2.5891246277057305</v>
          </cell>
        </row>
        <row r="747">
          <cell r="A747" t="str">
            <v>RHEM-SHWODBR</v>
          </cell>
          <cell r="B747" t="str">
            <v>VAR_ncap</v>
          </cell>
          <cell r="C747" t="str">
            <v>-</v>
          </cell>
          <cell r="D747">
            <v>1.52472387335808E-4</v>
          </cell>
          <cell r="E747">
            <v>1.49898216645135E-2</v>
          </cell>
          <cell r="F747">
            <v>8.5243420664670702E-4</v>
          </cell>
          <cell r="G747">
            <v>1.1615541676413799E-5</v>
          </cell>
          <cell r="H747">
            <v>0.18160167253770701</v>
          </cell>
          <cell r="I747">
            <v>5.5846588204870998E-2</v>
          </cell>
          <cell r="J747">
            <v>2.0693985920366101E-2</v>
          </cell>
        </row>
        <row r="748">
          <cell r="A748" t="str">
            <v>RHEM-SHWODBR</v>
          </cell>
          <cell r="B748" t="str">
            <v>VAR_cap</v>
          </cell>
          <cell r="C748" t="str">
            <v>-</v>
          </cell>
          <cell r="D748">
            <v>0.33522425134232881</v>
          </cell>
          <cell r="E748">
            <v>0.35021119044676657</v>
          </cell>
          <cell r="F748">
            <v>0.35104901654986581</v>
          </cell>
          <cell r="G748">
            <v>0.35099234429248238</v>
          </cell>
          <cell r="H748">
            <v>0.27702923294186899</v>
          </cell>
          <cell r="I748">
            <v>0.23759425182878871</v>
          </cell>
          <cell r="J748">
            <v>0.13803474721702574</v>
          </cell>
        </row>
        <row r="749">
          <cell r="A749" t="str">
            <v>RHES-SHCONBR9</v>
          </cell>
          <cell r="B749" t="str">
            <v>VAR_fout</v>
          </cell>
          <cell r="C749" t="str">
            <v>RHES-SHCON</v>
          </cell>
          <cell r="E749">
            <v>6.0182578113672437E-4</v>
          </cell>
          <cell r="F749">
            <v>4.8405529192973451E-4</v>
          </cell>
          <cell r="G749">
            <v>3.1245775590138796E-4</v>
          </cell>
          <cell r="H749">
            <v>4.5587370200742585E-4</v>
          </cell>
          <cell r="I749">
            <v>3.9867457265460821E-4</v>
          </cell>
          <cell r="J749">
            <v>2.8801481895147284E-4</v>
          </cell>
        </row>
        <row r="750">
          <cell r="A750" t="str">
            <v>RHES-SHCONBR9</v>
          </cell>
          <cell r="B750" t="str">
            <v>VAR_fin</v>
          </cell>
          <cell r="C750" t="str">
            <v>CON</v>
          </cell>
          <cell r="E750">
            <v>6.0182578113672437E-4</v>
          </cell>
          <cell r="F750">
            <v>4.8405529192973451E-4</v>
          </cell>
          <cell r="G750">
            <v>3.1245775590138796E-4</v>
          </cell>
          <cell r="H750">
            <v>4.5587370200742585E-4</v>
          </cell>
          <cell r="I750">
            <v>3.9867457265460821E-4</v>
          </cell>
          <cell r="J750">
            <v>2.8801481895147284E-4</v>
          </cell>
        </row>
        <row r="751">
          <cell r="A751" t="str">
            <v>RHES-SHCONBR9</v>
          </cell>
          <cell r="B751" t="str">
            <v>VAR_ncap</v>
          </cell>
          <cell r="C751" t="str">
            <v>-</v>
          </cell>
          <cell r="E751">
            <v>1.34020802989523E-7</v>
          </cell>
          <cell r="F751">
            <v>4.2290823470072698E-7</v>
          </cell>
          <cell r="G751">
            <v>2.18723319310549E-7</v>
          </cell>
          <cell r="H751">
            <v>1.3850019978691E-7</v>
          </cell>
          <cell r="I751">
            <v>1.1373740850361401E-7</v>
          </cell>
          <cell r="J751">
            <v>1.4634213324759401E-7</v>
          </cell>
        </row>
        <row r="752">
          <cell r="A752" t="str">
            <v>RHES-SHCONBR9</v>
          </cell>
          <cell r="B752" t="str">
            <v>VAR_cap</v>
          </cell>
          <cell r="C752" t="str">
            <v>-</v>
          </cell>
          <cell r="E752">
            <v>1.34020802989523E-7</v>
          </cell>
          <cell r="F752">
            <v>3.18361266442807E-7</v>
          </cell>
          <cell r="G752">
            <v>3.8530728862162801E-7</v>
          </cell>
          <cell r="H752">
            <v>2.4568377949365298E-7</v>
          </cell>
          <cell r="I752">
            <v>2.259759483227181E-7</v>
          </cell>
          <cell r="J752">
            <v>3.6532258239784406E-7</v>
          </cell>
        </row>
        <row r="753">
          <cell r="A753" t="str">
            <v>D-RHNS_LTH_CHPNGA</v>
          </cell>
          <cell r="B753" t="str">
            <v>VAR_fout</v>
          </cell>
          <cell r="C753" t="str">
            <v>RHSA_LTH</v>
          </cell>
          <cell r="D753">
            <v>5.6532733048855277E-4</v>
          </cell>
          <cell r="E753">
            <v>2.3111205245307611E-3</v>
          </cell>
          <cell r="F753">
            <v>4.9928521673070544E-3</v>
          </cell>
          <cell r="G753">
            <v>3.4051021460062788E-4</v>
          </cell>
          <cell r="H753">
            <v>2.585461685025039E-4</v>
          </cell>
          <cell r="I753">
            <v>3.1996775085549908E-4</v>
          </cell>
          <cell r="J753">
            <v>1.7717369182196628E-4</v>
          </cell>
        </row>
        <row r="754">
          <cell r="A754" t="str">
            <v>D-RHNS_LTH_CHPNGA</v>
          </cell>
          <cell r="B754" t="str">
            <v>VAR_fout</v>
          </cell>
          <cell r="C754" t="str">
            <v>LTH</v>
          </cell>
          <cell r="E754">
            <v>3.2104900799197293E-6</v>
          </cell>
          <cell r="F754">
            <v>1.7780841546753672E-6</v>
          </cell>
          <cell r="G754">
            <v>2.0942614211379403E-5</v>
          </cell>
          <cell r="H754">
            <v>3.3483875740903478E-5</v>
          </cell>
          <cell r="I754">
            <v>1.0237072343442276E-4</v>
          </cell>
          <cell r="J754">
            <v>1.1692708954651955E-4</v>
          </cell>
        </row>
        <row r="755">
          <cell r="A755" t="str">
            <v>D-RHNS_LTH_CHPNGA</v>
          </cell>
          <cell r="B755" t="str">
            <v>VAR_fout</v>
          </cell>
          <cell r="C755" t="str">
            <v>RHNS_LTH_CHPNGA_ON</v>
          </cell>
          <cell r="D755">
            <v>3.6732442481197361E-4</v>
          </cell>
          <cell r="E755">
            <v>2.8902406364849551E-3</v>
          </cell>
          <cell r="G755">
            <v>8.9658571872949089E-5</v>
          </cell>
          <cell r="H755">
            <v>1.207621111810801E-4</v>
          </cell>
          <cell r="I755">
            <v>7.6532198715155379E-5</v>
          </cell>
          <cell r="J755">
            <v>1.0703812077315995E-4</v>
          </cell>
        </row>
        <row r="756">
          <cell r="A756" t="str">
            <v>D-RHNS_LTH_CHPNGA</v>
          </cell>
          <cell r="B756" t="str">
            <v>VAR_fin</v>
          </cell>
          <cell r="C756" t="str">
            <v>RHNS_LTH_CHPNGA</v>
          </cell>
          <cell r="D756">
            <v>9.3265175530052595E-4</v>
          </cell>
          <cell r="E756">
            <v>5.2049079549352116E-3</v>
          </cell>
          <cell r="F756">
            <v>4.9960632093246932E-3</v>
          </cell>
          <cell r="G756">
            <v>4.5111140068495676E-4</v>
          </cell>
          <cell r="H756">
            <v>4.127921554244874E-4</v>
          </cell>
          <cell r="I756">
            <v>4.9887067300507745E-4</v>
          </cell>
          <cell r="J756">
            <v>4.0113890214164599E-4</v>
          </cell>
        </row>
        <row r="757">
          <cell r="A757" t="str">
            <v>D-SLFO</v>
          </cell>
          <cell r="B757" t="str">
            <v>VAR_fout</v>
          </cell>
          <cell r="C757" t="str">
            <v>CO2</v>
          </cell>
          <cell r="D757">
            <v>2267.7920244305801</v>
          </cell>
          <cell r="E757">
            <v>1933.6967713973099</v>
          </cell>
          <cell r="F757">
            <v>1957.23968949714</v>
          </cell>
          <cell r="G757">
            <v>1160.40081782383</v>
          </cell>
          <cell r="H757">
            <v>835.08316785970499</v>
          </cell>
          <cell r="I757">
            <v>406.77483808935301</v>
          </cell>
          <cell r="J757">
            <v>6.1128812110336599E-3</v>
          </cell>
        </row>
        <row r="758">
          <cell r="A758" t="str">
            <v>D-SLFO</v>
          </cell>
          <cell r="B758" t="str">
            <v>VAR_fout</v>
          </cell>
          <cell r="C758" t="str">
            <v>SLFO</v>
          </cell>
          <cell r="D758">
            <v>30.256679168903222</v>
          </cell>
          <cell r="E758">
            <v>25.799210065042509</v>
          </cell>
          <cell r="F758">
            <v>26.114252197428314</v>
          </cell>
          <cell r="G758">
            <v>15.489299762393747</v>
          </cell>
          <cell r="H758">
            <v>11.151242568810867</v>
          </cell>
          <cell r="I758">
            <v>5.4348603302027643</v>
          </cell>
          <cell r="J758">
            <v>0.42254364967528873</v>
          </cell>
        </row>
        <row r="759">
          <cell r="A759" t="str">
            <v>D-SLFO</v>
          </cell>
          <cell r="B759" t="str">
            <v>VAR_fin</v>
          </cell>
          <cell r="C759" t="str">
            <v>LFO</v>
          </cell>
          <cell r="D759">
            <v>30.770583777891158</v>
          </cell>
          <cell r="E759">
            <v>26.237405310682689</v>
          </cell>
          <cell r="F759">
            <v>26.556847890056115</v>
          </cell>
          <cell r="G759">
            <v>15.744922901273103</v>
          </cell>
          <cell r="H759">
            <v>11.330843525911881</v>
          </cell>
          <cell r="I759">
            <v>5.5193329455814641</v>
          </cell>
          <cell r="J759">
            <v>8.2942757273183945E-5</v>
          </cell>
        </row>
        <row r="760">
          <cell r="A760" t="str">
            <v>D-SLFO</v>
          </cell>
          <cell r="B760" t="str">
            <v>VAR_fin</v>
          </cell>
          <cell r="C760" t="str">
            <v>BDS</v>
          </cell>
          <cell r="F760">
            <v>9.5317539077009793E-4</v>
          </cell>
          <cell r="G760">
            <v>7.4854263886987692E-3</v>
          </cell>
          <cell r="H760">
            <v>9.8297696972346749E-3</v>
          </cell>
          <cell r="I760">
            <v>7.8570146721838457E-3</v>
          </cell>
          <cell r="J760">
            <v>0.42965812067712278</v>
          </cell>
        </row>
        <row r="761">
          <cell r="A761" t="str">
            <v>D-RCOA</v>
          </cell>
          <cell r="B761" t="str">
            <v>VAR_fout</v>
          </cell>
          <cell r="C761" t="str">
            <v>CO2</v>
          </cell>
          <cell r="D761">
            <v>9.2728601039877496</v>
          </cell>
          <cell r="E761">
            <v>9.2711067197275501</v>
          </cell>
          <cell r="F761">
            <v>2.5001913696749498</v>
          </cell>
          <cell r="G761">
            <v>2.2053707618221001E-2</v>
          </cell>
        </row>
        <row r="762">
          <cell r="A762" t="str">
            <v>D-RCOA</v>
          </cell>
          <cell r="B762" t="str">
            <v>VAR_fout</v>
          </cell>
          <cell r="C762" t="str">
            <v>RCOA</v>
          </cell>
          <cell r="D762">
            <v>0.10003085333320115</v>
          </cell>
          <cell r="E762">
            <v>0.10001193872413756</v>
          </cell>
          <cell r="F762">
            <v>2.6970780686892657E-2</v>
          </cell>
          <cell r="G762">
            <v>2.3790407355146724E-4</v>
          </cell>
        </row>
        <row r="763">
          <cell r="A763" t="str">
            <v>D-RCOA</v>
          </cell>
          <cell r="B763" t="str">
            <v>VAR_fin</v>
          </cell>
          <cell r="C763" t="str">
            <v>COA</v>
          </cell>
          <cell r="D763">
            <v>0.10003085333320115</v>
          </cell>
          <cell r="E763">
            <v>0.10001193872413756</v>
          </cell>
          <cell r="F763">
            <v>2.6970780686892657E-2</v>
          </cell>
          <cell r="G763">
            <v>2.3790407355146724E-4</v>
          </cell>
        </row>
        <row r="764">
          <cell r="A764" t="str">
            <v>SCOM-ELCSPECDC</v>
          </cell>
          <cell r="B764" t="str">
            <v>VAR_fout</v>
          </cell>
          <cell r="C764" t="str">
            <v>SCOM-ELSDC</v>
          </cell>
          <cell r="F764">
            <v>13.290698929185066</v>
          </cell>
          <cell r="G764">
            <v>13.175113596716098</v>
          </cell>
          <cell r="H764">
            <v>13.179390887137931</v>
          </cell>
          <cell r="I764">
            <v>13.115304700392768</v>
          </cell>
          <cell r="J764">
            <v>12.838404140405576</v>
          </cell>
        </row>
        <row r="765">
          <cell r="A765" t="str">
            <v>SCOM-ELCSPECDC</v>
          </cell>
          <cell r="B765" t="str">
            <v>VAR_fin</v>
          </cell>
          <cell r="C765" t="str">
            <v>SCOM_ELC</v>
          </cell>
          <cell r="F765">
            <v>13.290698929185066</v>
          </cell>
          <cell r="G765">
            <v>13.175113596716098</v>
          </cell>
          <cell r="H765">
            <v>13.179390887137931</v>
          </cell>
          <cell r="I765">
            <v>13.115304700392768</v>
          </cell>
          <cell r="J765">
            <v>12.838404140405576</v>
          </cell>
        </row>
        <row r="766">
          <cell r="A766" t="str">
            <v>RHES-SHSTG-SOL</v>
          </cell>
          <cell r="B766" t="str">
            <v>VAR_fout</v>
          </cell>
          <cell r="C766" t="str">
            <v>AUX_RHES-SHSTG-SOL_OUT</v>
          </cell>
          <cell r="D766">
            <v>5.1955985703851924E-2</v>
          </cell>
          <cell r="E766">
            <v>5.0893149046407939E-2</v>
          </cell>
          <cell r="F766">
            <v>9.1133523356119062E-3</v>
          </cell>
          <cell r="G766">
            <v>9.9226818204934605E-3</v>
          </cell>
          <cell r="H766">
            <v>9.7696608315541826E-3</v>
          </cell>
          <cell r="I766">
            <v>3.0843243702556324E-3</v>
          </cell>
          <cell r="J766">
            <v>2.8041710308942466E-3</v>
          </cell>
        </row>
        <row r="767">
          <cell r="A767" t="str">
            <v>RHES-SHSTG-SOL</v>
          </cell>
          <cell r="B767" t="str">
            <v>VAR_fout</v>
          </cell>
          <cell r="C767" t="str">
            <v>RHES-SHASOL</v>
          </cell>
          <cell r="D767">
            <v>5.1904081622229724E-2</v>
          </cell>
          <cell r="E767">
            <v>5.0842306739668233E-2</v>
          </cell>
          <cell r="F767">
            <v>9.1042480875243754E-3</v>
          </cell>
          <cell r="G767">
            <v>9.9127690514420174E-3</v>
          </cell>
          <cell r="H767">
            <v>9.7599009306235541E-3</v>
          </cell>
          <cell r="I767">
            <v>3.0812431271285052E-3</v>
          </cell>
          <cell r="J767">
            <v>2.8013696612330156E-3</v>
          </cell>
        </row>
        <row r="768">
          <cell r="A768" t="str">
            <v>RHES-SHSTG-SOL</v>
          </cell>
          <cell r="B768" t="str">
            <v>VAR_fin</v>
          </cell>
          <cell r="C768" t="str">
            <v>RHES-SHASOL</v>
          </cell>
          <cell r="D768">
            <v>5.150348437443221E-2</v>
          </cell>
          <cell r="E768">
            <v>5.0925589191183063E-2</v>
          </cell>
          <cell r="F768">
            <v>9.1718923494547699E-3</v>
          </cell>
          <cell r="G768">
            <v>9.8638542491311758E-3</v>
          </cell>
          <cell r="H768">
            <v>9.7054636392328794E-3</v>
          </cell>
          <cell r="I768">
            <v>3.0473470021820013E-3</v>
          </cell>
          <cell r="J768">
            <v>2.7544616819559363E-3</v>
          </cell>
        </row>
        <row r="769">
          <cell r="A769" t="str">
            <v>RHES-SHSTG-SOL</v>
          </cell>
          <cell r="B769" t="str">
            <v>VAR_ncap</v>
          </cell>
          <cell r="C769" t="str">
            <v>-</v>
          </cell>
          <cell r="D769">
            <v>1.12344462320643E-2</v>
          </cell>
          <cell r="E769">
            <v>1.9389512080385399E-5</v>
          </cell>
          <cell r="F769">
            <v>1.0235873842205099E-5</v>
          </cell>
          <cell r="G769">
            <v>1.33590495515354E-5</v>
          </cell>
          <cell r="H769">
            <v>3.9679898908624402E-4</v>
          </cell>
          <cell r="I769">
            <v>3.8497393411326199E-4</v>
          </cell>
          <cell r="J769">
            <v>2.2053985612115399E-4</v>
          </cell>
        </row>
        <row r="770">
          <cell r="A770" t="str">
            <v>RHES-SHSTG-SOL</v>
          </cell>
          <cell r="B770" t="str">
            <v>VAR_cap</v>
          </cell>
          <cell r="C770" t="str">
            <v>-</v>
          </cell>
          <cell r="D770">
            <v>1.12344462320643E-2</v>
          </cell>
          <cell r="E770">
            <v>1.12538357441446E-2</v>
          </cell>
          <cell r="F770">
            <v>1.12640716179869E-2</v>
          </cell>
          <cell r="G770">
            <v>1.1277430667538399E-2</v>
          </cell>
          <cell r="H770">
            <v>3.3438076788432098E-3</v>
          </cell>
          <cell r="I770">
            <v>7.9270996881440701E-4</v>
          </cell>
          <cell r="J770">
            <v>6.6777219596742096E-4</v>
          </cell>
        </row>
        <row r="771">
          <cell r="A771" t="str">
            <v>D-ITOT_LTH</v>
          </cell>
          <cell r="B771" t="str">
            <v>VAR_fout</v>
          </cell>
          <cell r="C771" t="str">
            <v>ITOT_LTH_DH</v>
          </cell>
          <cell r="D771">
            <v>7.1202094790041857</v>
          </cell>
          <cell r="E771">
            <v>7.6289546232497099</v>
          </cell>
          <cell r="F771">
            <v>7.6289456009858734</v>
          </cell>
          <cell r="G771">
            <v>7.6290252733156585</v>
          </cell>
          <cell r="H771">
            <v>7.6290127759654762</v>
          </cell>
          <cell r="I771">
            <v>7.6291573282089677</v>
          </cell>
          <cell r="J771">
            <v>9.2515740336308152</v>
          </cell>
        </row>
        <row r="772">
          <cell r="A772" t="str">
            <v>D-ITOT_LTH</v>
          </cell>
          <cell r="B772" t="str">
            <v>VAR_fin</v>
          </cell>
          <cell r="C772" t="str">
            <v>LTH</v>
          </cell>
          <cell r="D772">
            <v>7.7405634205725988</v>
          </cell>
          <cell r="E772">
            <v>8.2914537249965665</v>
          </cell>
          <cell r="F772">
            <v>8.2881765697366596</v>
          </cell>
          <cell r="G772">
            <v>8.282823206030379</v>
          </cell>
          <cell r="H772">
            <v>8.2773768621005175</v>
          </cell>
          <cell r="I772">
            <v>8.272107943125409</v>
          </cell>
          <cell r="J772">
            <v>10.018121183053829</v>
          </cell>
        </row>
        <row r="773">
          <cell r="A773" t="str">
            <v>D-ITOT_LTH</v>
          </cell>
          <cell r="B773" t="str">
            <v>VAR_ncap</v>
          </cell>
          <cell r="C773" t="str">
            <v>-</v>
          </cell>
          <cell r="D773">
            <v>0.79547978136727204</v>
          </cell>
          <cell r="E773">
            <v>2.0011936391865699E-6</v>
          </cell>
          <cell r="F773">
            <v>2.2673591661852101E-6</v>
          </cell>
          <cell r="G773">
            <v>2.5860812663031202E-6</v>
          </cell>
          <cell r="H773">
            <v>3.9169626751716997E-6</v>
          </cell>
          <cell r="I773">
            <v>4.8140304447772898E-6</v>
          </cell>
          <cell r="J773">
            <v>4.17569298799618E-6</v>
          </cell>
        </row>
        <row r="774">
          <cell r="A774" t="str">
            <v>D-ITOT_LTH</v>
          </cell>
          <cell r="B774" t="str">
            <v>VAR_cap</v>
          </cell>
          <cell r="C774" t="str">
            <v>-</v>
          </cell>
          <cell r="D774">
            <v>0.79547978136727204</v>
          </cell>
          <cell r="E774">
            <v>0.79548178256091195</v>
          </cell>
          <cell r="F774">
            <v>0.79548404992007804</v>
          </cell>
          <cell r="G774">
            <v>0.79548663600134395</v>
          </cell>
          <cell r="H774">
            <v>0.79549055296401905</v>
          </cell>
          <cell r="I774">
            <v>0.79549536699446399</v>
          </cell>
          <cell r="J774">
            <v>0.79549954268745204</v>
          </cell>
        </row>
        <row r="775">
          <cell r="A775" t="str">
            <v>D-IH2</v>
          </cell>
          <cell r="B775" t="str">
            <v>VAR_fout</v>
          </cell>
          <cell r="C775" t="str">
            <v>IH2</v>
          </cell>
          <cell r="H775">
            <v>1.8020925740833194</v>
          </cell>
          <cell r="I775">
            <v>1.4969975177465877</v>
          </cell>
          <cell r="J775">
            <v>2.7453645560192528</v>
          </cell>
        </row>
        <row r="776">
          <cell r="A776" t="str">
            <v>D-IH2</v>
          </cell>
          <cell r="B776" t="str">
            <v>VAR_fin</v>
          </cell>
          <cell r="C776" t="str">
            <v>H2</v>
          </cell>
          <cell r="H776">
            <v>1.8158216145576791</v>
          </cell>
          <cell r="I776">
            <v>1.5084022256992917</v>
          </cell>
          <cell r="J776">
            <v>2.7662798084588403</v>
          </cell>
        </row>
        <row r="777">
          <cell r="A777" t="str">
            <v>D-IH2</v>
          </cell>
          <cell r="B777" t="str">
            <v>VAR_ncap</v>
          </cell>
          <cell r="C777" t="str">
            <v>-</v>
          </cell>
          <cell r="G777">
            <v>1.4036171507022399E-5</v>
          </cell>
          <cell r="H777">
            <v>7.7214001736610194E-2</v>
          </cell>
          <cell r="I777">
            <v>0.17707174888438501</v>
          </cell>
          <cell r="J777">
            <v>0.132127333901777</v>
          </cell>
        </row>
        <row r="778">
          <cell r="A778" t="str">
            <v>D-IH2</v>
          </cell>
          <cell r="B778" t="str">
            <v>VAR_cap</v>
          </cell>
          <cell r="C778" t="str">
            <v>-</v>
          </cell>
          <cell r="G778">
            <v>1.4036171507022399E-5</v>
          </cell>
          <cell r="H778">
            <v>7.7228037908117206E-2</v>
          </cell>
          <cell r="I778">
            <v>0.25429978679250298</v>
          </cell>
          <cell r="J778">
            <v>0.38642712069427998</v>
          </cell>
        </row>
        <row r="779">
          <cell r="A779" t="str">
            <v>D-RHNM_LTH_CHPWOD</v>
          </cell>
          <cell r="B779" t="str">
            <v>VAR_fout</v>
          </cell>
          <cell r="C779" t="str">
            <v>RHNM_LTH_CHPWOD_ON</v>
          </cell>
          <cell r="D779">
            <v>6.3299589391340664E-4</v>
          </cell>
          <cell r="E779">
            <v>1.0760778197992141E-4</v>
          </cell>
          <cell r="F779">
            <v>6.4390076225150661E-5</v>
          </cell>
          <cell r="G779">
            <v>1.1367041961808162E-4</v>
          </cell>
          <cell r="H779">
            <v>1.0537627526771117E-4</v>
          </cell>
          <cell r="I779">
            <v>1.5284159793656086E-4</v>
          </cell>
          <cell r="J779">
            <v>7.524300828747216E-5</v>
          </cell>
        </row>
        <row r="780">
          <cell r="A780" t="str">
            <v>D-RHNM_LTH_CHPWOD</v>
          </cell>
          <cell r="B780" t="str">
            <v>VAR_fout</v>
          </cell>
          <cell r="C780" t="str">
            <v>RHSA_LTH</v>
          </cell>
          <cell r="D780">
            <v>2.9963077611581154E-4</v>
          </cell>
          <cell r="E780">
            <v>4.4623487028736447E-4</v>
          </cell>
          <cell r="F780">
            <v>1.6752547346586725E-4</v>
          </cell>
          <cell r="G780">
            <v>3.1651041127887195E-4</v>
          </cell>
          <cell r="H780">
            <v>2.7403767827685572E-4</v>
          </cell>
          <cell r="I780">
            <v>2.9091566619977242E-4</v>
          </cell>
          <cell r="J780">
            <v>2.6186446180189219E-4</v>
          </cell>
        </row>
        <row r="781">
          <cell r="A781" t="str">
            <v>D-RHNM_LTH_CHPWOD</v>
          </cell>
          <cell r="B781" t="str">
            <v>VAR_fout</v>
          </cell>
          <cell r="C781" t="str">
            <v>LTH</v>
          </cell>
          <cell r="E781">
            <v>9.7386470751907815E-6</v>
          </cell>
          <cell r="F781">
            <v>9.641714716976335E-6</v>
          </cell>
          <cell r="G781">
            <v>2.0961184226215024E-5</v>
          </cell>
          <cell r="H781">
            <v>3.468557792157582E-5</v>
          </cell>
          <cell r="I781">
            <v>1.0665251700499679E-4</v>
          </cell>
          <cell r="J781">
            <v>1.2376533018414423E-4</v>
          </cell>
        </row>
        <row r="782">
          <cell r="A782" t="str">
            <v>D-RHNM_LTH_CHPWOD</v>
          </cell>
          <cell r="B782" t="str">
            <v>VAR_fin</v>
          </cell>
          <cell r="C782" t="str">
            <v>RHNM_LTH_CHPWOD</v>
          </cell>
          <cell r="D782">
            <v>9.3262667002921862E-4</v>
          </cell>
          <cell r="E782">
            <v>5.6358129934247622E-4</v>
          </cell>
          <cell r="F782">
            <v>2.415572644079943E-4</v>
          </cell>
          <cell r="G782">
            <v>4.5114201512316875E-4</v>
          </cell>
          <cell r="H782">
            <v>4.1409953146614233E-4</v>
          </cell>
          <cell r="I782">
            <v>5.504097811413303E-4</v>
          </cell>
          <cell r="J782">
            <v>4.6087280027350857E-4</v>
          </cell>
        </row>
        <row r="783">
          <cell r="A783" t="str">
            <v>RHNS-SHWODBR</v>
          </cell>
          <cell r="B783" t="str">
            <v>VAR_fout</v>
          </cell>
          <cell r="C783" t="str">
            <v>RHNS-SHWOD</v>
          </cell>
          <cell r="E783">
            <v>2.6615756125538775E-2</v>
          </cell>
          <cell r="F783">
            <v>2.2354283532903009E-2</v>
          </cell>
          <cell r="G783">
            <v>7.6946419555608131E-2</v>
          </cell>
          <cell r="H783">
            <v>7.8660282705172599E-2</v>
          </cell>
          <cell r="I783">
            <v>8.0646333888807265E-2</v>
          </cell>
          <cell r="J783">
            <v>8.185780592984758E-2</v>
          </cell>
        </row>
        <row r="784">
          <cell r="A784" t="str">
            <v>RHNS-SHWODBR</v>
          </cell>
          <cell r="B784" t="str">
            <v>VAR_fin</v>
          </cell>
          <cell r="C784" t="str">
            <v>RHNSWODBRC</v>
          </cell>
          <cell r="E784">
            <v>2.6615756125538775E-2</v>
          </cell>
          <cell r="F784">
            <v>2.2354283532903009E-2</v>
          </cell>
          <cell r="G784">
            <v>7.6946419555608131E-2</v>
          </cell>
          <cell r="H784">
            <v>7.8660282705172599E-2</v>
          </cell>
          <cell r="I784">
            <v>8.0646333888807265E-2</v>
          </cell>
          <cell r="J784">
            <v>8.185780592984758E-2</v>
          </cell>
        </row>
        <row r="785">
          <cell r="A785" t="str">
            <v>RHNS-SHWODBR</v>
          </cell>
          <cell r="B785" t="str">
            <v>VAR_fin</v>
          </cell>
          <cell r="C785" t="str">
            <v>RWOD</v>
          </cell>
          <cell r="E785">
            <v>3.6966327952137244E-2</v>
          </cell>
          <cell r="F785">
            <v>3.0106142551570059E-2</v>
          </cell>
          <cell r="G785">
            <v>0.10168572126972551</v>
          </cell>
          <cell r="H785">
            <v>0.10384584372167546</v>
          </cell>
          <cell r="I785">
            <v>0.10629369166567229</v>
          </cell>
          <cell r="J785">
            <v>0.10748016270056547</v>
          </cell>
        </row>
        <row r="786">
          <cell r="A786" t="str">
            <v>RHNS-SHWODBR</v>
          </cell>
          <cell r="B786" t="str">
            <v>VAR_ncap</v>
          </cell>
          <cell r="C786" t="str">
            <v>-</v>
          </cell>
          <cell r="E786">
            <v>2.5607459364027901E-3</v>
          </cell>
          <cell r="F786">
            <v>3.9528184006040598E-3</v>
          </cell>
          <cell r="H786">
            <v>1.4624124862114E-2</v>
          </cell>
        </row>
        <row r="787">
          <cell r="A787" t="str">
            <v>RHNS-SHWODBR</v>
          </cell>
          <cell r="B787" t="str">
            <v>VAR_cap</v>
          </cell>
          <cell r="C787" t="str">
            <v>-</v>
          </cell>
          <cell r="E787">
            <v>2.5607459364027901E-3</v>
          </cell>
          <cell r="F787">
            <v>6.5083679514562447E-3</v>
          </cell>
          <cell r="G787">
            <v>6.5066918794091213E-3</v>
          </cell>
          <cell r="H787">
            <v>1.9611276280959804E-2</v>
          </cell>
          <cell r="I787">
            <v>1.5222566846372017E-2</v>
          </cell>
          <cell r="J787">
            <v>6.1849328697978958E-3</v>
          </cell>
        </row>
        <row r="788">
          <cell r="A788" t="str">
            <v>D-RHNM_NKEV_GAS_ELC_CHP</v>
          </cell>
          <cell r="B788" t="str">
            <v>VAR_fout</v>
          </cell>
          <cell r="C788" t="str">
            <v>ELC5</v>
          </cell>
          <cell r="E788">
            <v>2.3145317213980731E-3</v>
          </cell>
          <cell r="F788">
            <v>5.1256443590673301E-3</v>
          </cell>
        </row>
        <row r="789">
          <cell r="A789" t="str">
            <v>D-RHNM_NKEV_GAS_ELC_CHP</v>
          </cell>
          <cell r="B789" t="str">
            <v>VAR_fout</v>
          </cell>
          <cell r="C789" t="str">
            <v>RHNM_ELC</v>
          </cell>
          <cell r="E789">
            <v>2.6826095068424281E-3</v>
          </cell>
          <cell r="F789">
            <v>7.4842730974800957E-3</v>
          </cell>
        </row>
        <row r="790">
          <cell r="A790" t="str">
            <v>D-RHNM_NKEV_GAS_ELC_CHP</v>
          </cell>
          <cell r="B790" t="str">
            <v>VAR_fin</v>
          </cell>
          <cell r="C790" t="str">
            <v>RHNM_NKEV_GAS_ELC_CHP</v>
          </cell>
          <cell r="E790">
            <v>4.9971412282404978E-3</v>
          </cell>
          <cell r="F790">
            <v>1.2475269824182129E-2</v>
          </cell>
        </row>
        <row r="791">
          <cell r="A791" t="str">
            <v>D-RLFO</v>
          </cell>
          <cell r="B791" t="str">
            <v>VAR_fout</v>
          </cell>
          <cell r="C791" t="str">
            <v>CO2</v>
          </cell>
          <cell r="D791">
            <v>4514.5291404127502</v>
          </cell>
          <cell r="E791">
            <v>3846.57266256306</v>
          </cell>
          <cell r="F791">
            <v>3706.0219843080899</v>
          </cell>
          <cell r="G791">
            <v>1823.5811585651199</v>
          </cell>
          <cell r="H791">
            <v>1169.0017719447701</v>
          </cell>
          <cell r="I791">
            <v>448.21032044476601</v>
          </cell>
          <cell r="J791">
            <v>9.6669529286845992E-3</v>
          </cell>
        </row>
        <row r="792">
          <cell r="A792" t="str">
            <v>D-RLFO</v>
          </cell>
          <cell r="B792" t="str">
            <v>VAR_fout</v>
          </cell>
          <cell r="C792" t="str">
            <v>RLFO</v>
          </cell>
          <cell r="D792">
            <v>60.232445624916004</v>
          </cell>
          <cell r="E792">
            <v>51.320629800815738</v>
          </cell>
          <cell r="F792">
            <v>49.44635418167627</v>
          </cell>
          <cell r="G792">
            <v>24.33745865641847</v>
          </cell>
          <cell r="H792">
            <v>15.606402500061549</v>
          </cell>
          <cell r="I792">
            <v>5.9877899721881045</v>
          </cell>
          <cell r="J792">
            <v>0.57819385632436648</v>
          </cell>
        </row>
        <row r="793">
          <cell r="A793" t="str">
            <v>D-RLFO</v>
          </cell>
          <cell r="B793" t="str">
            <v>VAR_fin</v>
          </cell>
          <cell r="C793" t="str">
            <v>LFO</v>
          </cell>
          <cell r="D793">
            <v>61.25548358768993</v>
          </cell>
          <cell r="E793">
            <v>52.192302070055007</v>
          </cell>
          <cell r="F793">
            <v>50.285237236201965</v>
          </cell>
          <cell r="G793">
            <v>24.743299302104791</v>
          </cell>
          <cell r="H793">
            <v>15.861625128151564</v>
          </cell>
          <cell r="I793">
            <v>6.0815511593591127</v>
          </cell>
          <cell r="J793">
            <v>1.3116625412055096E-4</v>
          </cell>
        </row>
        <row r="794">
          <cell r="A794" t="str">
            <v>D-RLFO</v>
          </cell>
          <cell r="B794" t="str">
            <v>VAR_fin</v>
          </cell>
          <cell r="C794" t="str">
            <v>BDS</v>
          </cell>
          <cell r="F794">
            <v>9.5434524827599904E-4</v>
          </cell>
          <cell r="G794">
            <v>7.5287058467960605E-3</v>
          </cell>
          <cell r="H794">
            <v>9.8517512132436352E-3</v>
          </cell>
          <cell r="I794">
            <v>7.9418117323097788E-3</v>
          </cell>
          <cell r="J794">
            <v>0.58794408155540623</v>
          </cell>
        </row>
        <row r="795">
          <cell r="A795" t="str">
            <v>D-SCOM_LTH_CHPBIO</v>
          </cell>
          <cell r="B795" t="str">
            <v>VAR_fout</v>
          </cell>
          <cell r="C795" t="str">
            <v>SCOM_LTH_CHPBIO_ON</v>
          </cell>
          <cell r="D795">
            <v>1.4243679139317302</v>
          </cell>
          <cell r="E795">
            <v>1.5428509789299918</v>
          </cell>
        </row>
        <row r="796">
          <cell r="A796" t="str">
            <v>D-SCOM_LTH_CHPBIO</v>
          </cell>
          <cell r="B796" t="str">
            <v>VAR_fout</v>
          </cell>
          <cell r="C796" t="str">
            <v>LTH</v>
          </cell>
          <cell r="E796">
            <v>3.5779835358936779E-2</v>
          </cell>
        </row>
        <row r="797">
          <cell r="A797" t="str">
            <v>D-SCOM_LTH_CHPBIO</v>
          </cell>
          <cell r="B797" t="str">
            <v>VAR_fin</v>
          </cell>
          <cell r="C797" t="str">
            <v>SCOM_LTH_CHPBIO</v>
          </cell>
          <cell r="D797">
            <v>1.4243679139317302</v>
          </cell>
          <cell r="E797">
            <v>1.5786308142889296</v>
          </cell>
        </row>
        <row r="798">
          <cell r="A798" t="str">
            <v>D-SCOM_NKEV_GAS_ELC_CHP</v>
          </cell>
          <cell r="B798" t="str">
            <v>VAR_fout</v>
          </cell>
          <cell r="C798" t="str">
            <v>ELC5</v>
          </cell>
          <cell r="D798">
            <v>4.6656374639840605E-2</v>
          </cell>
          <cell r="E798">
            <v>1.9680455889309185E-2</v>
          </cell>
          <cell r="F798">
            <v>1.8341992905094334E-2</v>
          </cell>
        </row>
        <row r="799">
          <cell r="A799" t="str">
            <v>D-SCOM_NKEV_GAS_ELC_CHP</v>
          </cell>
          <cell r="B799" t="str">
            <v>VAR_fout</v>
          </cell>
          <cell r="C799" t="str">
            <v>SCOM_ELC</v>
          </cell>
          <cell r="D799">
            <v>0.54798592106316857</v>
          </cell>
          <cell r="E799">
            <v>0.60696215395446285</v>
          </cell>
          <cell r="F799">
            <v>0.51929548623497057</v>
          </cell>
        </row>
        <row r="800">
          <cell r="A800" t="str">
            <v>D-SCOM_NKEV_GAS_ELC_CHP</v>
          </cell>
          <cell r="B800" t="str">
            <v>VAR_fin</v>
          </cell>
          <cell r="C800" t="str">
            <v>SCOM_NKEV_GAS_ELC_CHP</v>
          </cell>
          <cell r="D800">
            <v>0.59464229570300875</v>
          </cell>
          <cell r="E800">
            <v>0.62664260984377185</v>
          </cell>
          <cell r="F800">
            <v>0.53747126247534416</v>
          </cell>
        </row>
        <row r="801">
          <cell r="A801" t="str">
            <v>RHEM-SHLTHDH</v>
          </cell>
          <cell r="B801" t="str">
            <v>VAR_fout</v>
          </cell>
          <cell r="C801" t="str">
            <v>RHEM-SHLTHD</v>
          </cell>
          <cell r="D801">
            <v>3.211715113318657</v>
          </cell>
          <cell r="E801">
            <v>3.7889116633381663</v>
          </cell>
          <cell r="F801">
            <v>4.4289999914988254</v>
          </cell>
          <cell r="G801">
            <v>5.263452390997605</v>
          </cell>
          <cell r="H801">
            <v>5.4116270571337628</v>
          </cell>
          <cell r="I801">
            <v>5.6679875017816901</v>
          </cell>
          <cell r="J801">
            <v>5.13089949731296</v>
          </cell>
        </row>
        <row r="802">
          <cell r="A802" t="str">
            <v>RHEM-SHLTHDH</v>
          </cell>
          <cell r="B802" t="str">
            <v>VAR_fin</v>
          </cell>
          <cell r="C802" t="str">
            <v>RHEMLTHDHC</v>
          </cell>
          <cell r="D802">
            <v>3.211715113318657</v>
          </cell>
          <cell r="E802">
            <v>3.7889116633381663</v>
          </cell>
          <cell r="F802">
            <v>4.4289999914988254</v>
          </cell>
          <cell r="G802">
            <v>5.263452390997605</v>
          </cell>
          <cell r="H802">
            <v>5.4116270571337628</v>
          </cell>
          <cell r="I802">
            <v>5.6679875017816901</v>
          </cell>
          <cell r="J802">
            <v>5.13089949731296</v>
          </cell>
        </row>
        <row r="803">
          <cell r="A803" t="str">
            <v>RHEM-SHLTHDH</v>
          </cell>
          <cell r="B803" t="str">
            <v>VAR_fin</v>
          </cell>
          <cell r="C803" t="str">
            <v>RHEM_LTH_DH</v>
          </cell>
          <cell r="D803">
            <v>3.2441566801198554</v>
          </cell>
          <cell r="E803">
            <v>3.8271834983213817</v>
          </cell>
          <cell r="F803">
            <v>4.9630346394655369</v>
          </cell>
          <cell r="G803">
            <v>5.8981026393857814</v>
          </cell>
          <cell r="H803">
            <v>6.0641437326656504</v>
          </cell>
          <cell r="I803">
            <v>6.3514152994795117</v>
          </cell>
          <cell r="J803">
            <v>5.7495669418962772</v>
          </cell>
        </row>
        <row r="804">
          <cell r="A804" t="str">
            <v>RHEM-SHLTHDH</v>
          </cell>
          <cell r="B804" t="str">
            <v>VAR_ncap</v>
          </cell>
          <cell r="C804" t="str">
            <v>-</v>
          </cell>
          <cell r="D804">
            <v>1.6796840818739101E-6</v>
          </cell>
          <cell r="E804">
            <v>0.167911275029796</v>
          </cell>
          <cell r="F804">
            <v>0.19448987706981</v>
          </cell>
          <cell r="G804">
            <v>0.18011697993283701</v>
          </cell>
          <cell r="H804">
            <v>0.164679584164929</v>
          </cell>
          <cell r="I804">
            <v>0.178726395032274</v>
          </cell>
          <cell r="J804">
            <v>0.177427765637206</v>
          </cell>
        </row>
        <row r="805">
          <cell r="A805" t="str">
            <v>RHEM-SHLTHDH</v>
          </cell>
          <cell r="B805" t="str">
            <v>VAR_cap</v>
          </cell>
          <cell r="C805" t="str">
            <v>-</v>
          </cell>
          <cell r="D805">
            <v>0.31562714679576986</v>
          </cell>
          <cell r="E805">
            <v>0.27465621958243291</v>
          </cell>
          <cell r="F805">
            <v>0.36577180425487799</v>
          </cell>
          <cell r="G805">
            <v>0.39759765002095399</v>
          </cell>
          <cell r="H805">
            <v>0.39666151903016189</v>
          </cell>
          <cell r="I805">
            <v>0.40992956106771505</v>
          </cell>
          <cell r="J805">
            <v>0.395852398096186</v>
          </cell>
        </row>
        <row r="806">
          <cell r="A806" t="str">
            <v>D-ITOT_SOLELC</v>
          </cell>
          <cell r="B806" t="str">
            <v>VAR_fout</v>
          </cell>
          <cell r="C806" t="str">
            <v>ITOT_ELC</v>
          </cell>
          <cell r="D806">
            <v>3.4722461259298605</v>
          </cell>
          <cell r="E806">
            <v>4.8216965664715952</v>
          </cell>
          <cell r="F806">
            <v>11.123168592516206</v>
          </cell>
          <cell r="G806">
            <v>19.076381317476553</v>
          </cell>
          <cell r="H806">
            <v>21.977279584625887</v>
          </cell>
          <cell r="I806">
            <v>39.854997851569244</v>
          </cell>
          <cell r="J806">
            <v>42.711874577812424</v>
          </cell>
        </row>
        <row r="807">
          <cell r="A807" t="str">
            <v>D-ITOT_SOLELC</v>
          </cell>
          <cell r="B807" t="str">
            <v>VAR_fout</v>
          </cell>
          <cell r="C807" t="str">
            <v>ELC5</v>
          </cell>
          <cell r="D807">
            <v>4.5707873777669709E-2</v>
          </cell>
          <cell r="E807">
            <v>2.6976964297584415E-2</v>
          </cell>
          <cell r="F807">
            <v>3.1922482827382068E-2</v>
          </cell>
          <cell r="G807">
            <v>1.1586241992679455E-2</v>
          </cell>
          <cell r="H807">
            <v>4.0199762483508698E-2</v>
          </cell>
          <cell r="I807">
            <v>0.84411990911676216</v>
          </cell>
          <cell r="J807">
            <v>0.72908670602078263</v>
          </cell>
        </row>
        <row r="808">
          <cell r="A808" t="str">
            <v>D-ITOT_SOLELC</v>
          </cell>
          <cell r="B808" t="str">
            <v>VAR_fin</v>
          </cell>
          <cell r="C808" t="str">
            <v>ITOT_SOL_ELC</v>
          </cell>
          <cell r="D808">
            <v>3.517953999707534</v>
          </cell>
          <cell r="E808">
            <v>4.8486281142671022</v>
          </cell>
          <cell r="F808">
            <v>11.155091075343593</v>
          </cell>
          <cell r="G808">
            <v>19.087967559469238</v>
          </cell>
          <cell r="H808">
            <v>22.01747934710939</v>
          </cell>
          <cell r="I808">
            <v>40.699117760686022</v>
          </cell>
          <cell r="J808">
            <v>43.440961283833175</v>
          </cell>
        </row>
        <row r="809">
          <cell r="A809" t="str">
            <v>D-SWOD</v>
          </cell>
          <cell r="B809" t="str">
            <v>VAR_fout</v>
          </cell>
          <cell r="C809" t="str">
            <v>SWOD</v>
          </cell>
          <cell r="D809">
            <v>8.5744660242739226</v>
          </cell>
          <cell r="E809">
            <v>7.2610711900694813</v>
          </cell>
          <cell r="F809">
            <v>10.069284452655683</v>
          </cell>
          <cell r="G809">
            <v>9.6060666162982002</v>
          </cell>
          <cell r="H809">
            <v>8.4536948091823874</v>
          </cell>
          <cell r="I809">
            <v>7.1453071659315377</v>
          </cell>
          <cell r="J809">
            <v>4.7599824851355077</v>
          </cell>
        </row>
        <row r="810">
          <cell r="A810" t="str">
            <v>D-SWOD</v>
          </cell>
          <cell r="B810" t="str">
            <v>VAR_fin</v>
          </cell>
          <cell r="C810" t="str">
            <v>WOD</v>
          </cell>
          <cell r="D810">
            <v>8.5744660242739226</v>
          </cell>
          <cell r="E810">
            <v>7.2610711900694813</v>
          </cell>
          <cell r="F810">
            <v>10.069284452655683</v>
          </cell>
          <cell r="G810">
            <v>9.6060666162982002</v>
          </cell>
          <cell r="H810">
            <v>8.4536948091823874</v>
          </cell>
          <cell r="I810">
            <v>7.1453071659315377</v>
          </cell>
          <cell r="J810">
            <v>4.7599824851355077</v>
          </cell>
        </row>
        <row r="811">
          <cell r="A811" t="str">
            <v>ITOT-PROCESSCO2CCS</v>
          </cell>
          <cell r="B811" t="str">
            <v>VAR_fout</v>
          </cell>
          <cell r="C811" t="str">
            <v>CO2_O</v>
          </cell>
          <cell r="I811">
            <v>1.2960053381384309</v>
          </cell>
          <cell r="J811">
            <v>897.2367904952647</v>
          </cell>
        </row>
        <row r="812">
          <cell r="A812" t="str">
            <v>ITOT-PROCESSCO2CCS</v>
          </cell>
          <cell r="B812" t="str">
            <v>VAR_fout</v>
          </cell>
          <cell r="C812" t="str">
            <v>CO2</v>
          </cell>
          <cell r="I812">
            <v>-1.29600533813843</v>
          </cell>
          <cell r="J812">
            <v>-897.23679049526504</v>
          </cell>
        </row>
        <row r="813">
          <cell r="A813" t="str">
            <v>ITOT-PROCESSCO2CCS</v>
          </cell>
          <cell r="B813" t="str">
            <v>VAR_fin</v>
          </cell>
          <cell r="C813" t="str">
            <v>ITOT_ELC</v>
          </cell>
          <cell r="I813">
            <v>2.744481892528444E-3</v>
          </cell>
          <cell r="J813">
            <v>1.9000308504605625</v>
          </cell>
        </row>
        <row r="814">
          <cell r="A814" t="str">
            <v>ITOT-PROCESSCO2CCS</v>
          </cell>
          <cell r="B814" t="str">
            <v>VAR_fin</v>
          </cell>
          <cell r="C814" t="str">
            <v>ITOT_LTH_DH</v>
          </cell>
          <cell r="I814">
            <v>1.0672985137610608E-3</v>
          </cell>
          <cell r="J814">
            <v>0.73890088629021811</v>
          </cell>
        </row>
        <row r="815">
          <cell r="A815" t="str">
            <v>ITOT-PROCESSCO2CCS</v>
          </cell>
          <cell r="B815" t="str">
            <v>VAR_ncap</v>
          </cell>
          <cell r="C815" t="str">
            <v>-</v>
          </cell>
          <cell r="I815">
            <v>3.8072509300627799</v>
          </cell>
          <cell r="J815">
            <v>2722.2212899173501</v>
          </cell>
        </row>
        <row r="816">
          <cell r="A816" t="str">
            <v>ITOT-PROCESSCO2CCS</v>
          </cell>
          <cell r="B816" t="str">
            <v>VAR_cap</v>
          </cell>
          <cell r="C816" t="str">
            <v>-</v>
          </cell>
          <cell r="I816">
            <v>3.8072509300627799</v>
          </cell>
          <cell r="J816">
            <v>2726.0285408474101</v>
          </cell>
        </row>
        <row r="817">
          <cell r="A817" t="str">
            <v>D-RSH2R</v>
          </cell>
          <cell r="B817" t="str">
            <v>VAR_fout</v>
          </cell>
          <cell r="C817" t="str">
            <v>RSH2</v>
          </cell>
          <cell r="G817">
            <v>4.949715505839546E-3</v>
          </cell>
          <cell r="H817">
            <v>4.2570541080911069E-3</v>
          </cell>
          <cell r="I817">
            <v>2.4843779430640213E-3</v>
          </cell>
          <cell r="J817">
            <v>2.5110577823140934E-3</v>
          </cell>
        </row>
        <row r="818">
          <cell r="A818" t="str">
            <v>D-RSH2R</v>
          </cell>
          <cell r="B818" t="str">
            <v>VAR_fin</v>
          </cell>
          <cell r="C818" t="str">
            <v>H2</v>
          </cell>
          <cell r="G818">
            <v>4.949715505839546E-3</v>
          </cell>
          <cell r="H818">
            <v>4.2570541080911069E-3</v>
          </cell>
          <cell r="I818">
            <v>2.4843779430640213E-3</v>
          </cell>
          <cell r="J818">
            <v>2.5110577823140934E-3</v>
          </cell>
        </row>
        <row r="819">
          <cell r="A819" t="str">
            <v>D-RSH2R</v>
          </cell>
          <cell r="B819" t="str">
            <v>VAR_ncap</v>
          </cell>
          <cell r="C819" t="str">
            <v>-</v>
          </cell>
          <cell r="G819">
            <v>9.2706046910049603E-4</v>
          </cell>
          <cell r="H819">
            <v>9.3505739772183104E-4</v>
          </cell>
          <cell r="I819">
            <v>1.1154525941372501E-3</v>
          </cell>
          <cell r="J819">
            <v>5.0247870232865205E-4</v>
          </cell>
        </row>
        <row r="820">
          <cell r="A820" t="str">
            <v>D-RSH2R</v>
          </cell>
          <cell r="B820" t="str">
            <v>VAR_cap</v>
          </cell>
          <cell r="C820" t="str">
            <v>-</v>
          </cell>
          <cell r="G820">
            <v>9.2706046910049603E-4</v>
          </cell>
          <cell r="H820">
            <v>1.6388651338120901E-3</v>
          </cell>
          <cell r="I820">
            <v>1.2810717587812301E-3</v>
          </cell>
          <cell r="J820">
            <v>8.84544915556755E-4</v>
          </cell>
        </row>
        <row r="821">
          <cell r="A821" t="str">
            <v>SCOM-SHLTHCHPBIO</v>
          </cell>
          <cell r="B821" t="str">
            <v>VAR_fout</v>
          </cell>
          <cell r="C821" t="str">
            <v>SCOM-SHLTHC-BIO</v>
          </cell>
          <cell r="D821">
            <v>1.4101242347924117</v>
          </cell>
          <cell r="E821">
            <v>1.5274224691406926</v>
          </cell>
        </row>
        <row r="822">
          <cell r="A822" t="str">
            <v>SCOM-SHLTHCHPBIO</v>
          </cell>
          <cell r="B822" t="str">
            <v>VAR_fin</v>
          </cell>
          <cell r="C822" t="str">
            <v>SCOM_LTH_CHPBIO_ON</v>
          </cell>
          <cell r="D822">
            <v>1.4243679139317302</v>
          </cell>
          <cell r="E822">
            <v>1.5428509789299918</v>
          </cell>
        </row>
        <row r="823">
          <cell r="A823" t="str">
            <v>SCOM-SHLTHCHPBIO</v>
          </cell>
          <cell r="B823" t="str">
            <v>VAR_fin</v>
          </cell>
          <cell r="C823" t="str">
            <v>SCOMLTHCHPC</v>
          </cell>
          <cell r="D823">
            <v>1.4101242347924117</v>
          </cell>
          <cell r="E823">
            <v>1.5274224691406926</v>
          </cell>
        </row>
        <row r="824">
          <cell r="A824" t="str">
            <v>SCOM-SHLTHCHPBIO</v>
          </cell>
          <cell r="B824" t="str">
            <v>VAR_ncap</v>
          </cell>
          <cell r="C824" t="str">
            <v>-</v>
          </cell>
          <cell r="D824">
            <v>2.4640933473597802E-6</v>
          </cell>
          <cell r="E824">
            <v>8.6102905947137098E-2</v>
          </cell>
          <cell r="F824">
            <v>6.5131722110967002E-2</v>
          </cell>
          <cell r="G824">
            <v>5.1330420867252403E-2</v>
          </cell>
          <cell r="H824">
            <v>5.7312493793284597E-2</v>
          </cell>
          <cell r="I824">
            <v>4.9480730166634401E-2</v>
          </cell>
          <cell r="J824">
            <v>5.7153435431025697E-2</v>
          </cell>
        </row>
        <row r="825">
          <cell r="A825" t="str">
            <v>SCOM-SHLTHCHPBIO</v>
          </cell>
          <cell r="B825" t="str">
            <v>VAR_cap</v>
          </cell>
          <cell r="C825" t="str">
            <v>-</v>
          </cell>
          <cell r="D825">
            <v>0.10914215167238636</v>
          </cell>
          <cell r="E825">
            <v>0.12103091729225199</v>
          </cell>
          <cell r="F825">
            <v>0.104657080440302</v>
          </cell>
          <cell r="G825">
            <v>9.2281873094359979E-2</v>
          </cell>
          <cell r="H825">
            <v>8.9471352253962411E-2</v>
          </cell>
          <cell r="I825">
            <v>7.7211934113112515E-2</v>
          </cell>
          <cell r="J825">
            <v>7.7210348597177403E-2</v>
          </cell>
        </row>
        <row r="826">
          <cell r="A826" t="str">
            <v>D-RSH2</v>
          </cell>
          <cell r="B826" t="str">
            <v>VAR_fout</v>
          </cell>
          <cell r="C826" t="str">
            <v>RSH2</v>
          </cell>
          <cell r="G826">
            <v>4.6824012189241671E-3</v>
          </cell>
          <cell r="H826">
            <v>4.0287454459152668E-3</v>
          </cell>
          <cell r="I826">
            <v>2.6385838545148455E-3</v>
          </cell>
          <cell r="J826">
            <v>2.8839600496561664E-3</v>
          </cell>
        </row>
        <row r="827">
          <cell r="A827" t="str">
            <v>D-RSH2</v>
          </cell>
          <cell r="B827" t="str">
            <v>VAR_fin</v>
          </cell>
          <cell r="C827" t="str">
            <v>H2</v>
          </cell>
          <cell r="G827">
            <v>4.7180735682675352E-3</v>
          </cell>
          <cell r="H827">
            <v>4.0594379919494184E-3</v>
          </cell>
          <cell r="I827">
            <v>2.6586856101375031E-3</v>
          </cell>
          <cell r="J827">
            <v>2.9059311763438753E-3</v>
          </cell>
        </row>
        <row r="828">
          <cell r="A828" t="str">
            <v>D-RSH2</v>
          </cell>
          <cell r="B828" t="str">
            <v>VAR_ncap</v>
          </cell>
          <cell r="C828" t="str">
            <v>-</v>
          </cell>
          <cell r="G828">
            <v>1.2126009950502001E-3</v>
          </cell>
          <cell r="H828">
            <v>5.1066817579369496E-4</v>
          </cell>
          <cell r="I828">
            <v>3.4455384746115597E-5</v>
          </cell>
          <cell r="J828">
            <v>1.6942437411373901E-5</v>
          </cell>
        </row>
        <row r="829">
          <cell r="A829" t="str">
            <v>D-RSH2</v>
          </cell>
          <cell r="B829" t="str">
            <v>VAR_cap</v>
          </cell>
          <cell r="C829" t="str">
            <v>-</v>
          </cell>
          <cell r="G829">
            <v>1.2126009950502001E-3</v>
          </cell>
          <cell r="H829">
            <v>1.7232691708438999E-3</v>
          </cell>
          <cell r="I829">
            <v>1.75772455559002E-3</v>
          </cell>
          <cell r="J829">
            <v>1.7746669930013899E-3</v>
          </cell>
        </row>
        <row r="830">
          <cell r="A830" t="str">
            <v>RHES-SHNGABR</v>
          </cell>
          <cell r="B830" t="str">
            <v>VAR_fout</v>
          </cell>
          <cell r="C830" t="str">
            <v>CO2_R</v>
          </cell>
          <cell r="D830">
            <v>1043.1446976712</v>
          </cell>
          <cell r="E830">
            <v>1155.2875816594701</v>
          </cell>
          <cell r="F830">
            <v>643.24748411699602</v>
          </cell>
          <cell r="G830">
            <v>452.82401288682797</v>
          </cell>
          <cell r="H830">
            <v>298.71728509588098</v>
          </cell>
          <cell r="I830">
            <v>141.71026557558</v>
          </cell>
          <cell r="J830">
            <v>57.033778808755201</v>
          </cell>
        </row>
        <row r="831">
          <cell r="A831" t="str">
            <v>RHES-SHNGABR</v>
          </cell>
          <cell r="B831" t="str">
            <v>VAR_fout</v>
          </cell>
          <cell r="C831" t="str">
            <v>RHES-SHNGA</v>
          </cell>
          <cell r="D831">
            <v>17.570699694816405</v>
          </cell>
          <cell r="E831">
            <v>19.459631251356271</v>
          </cell>
          <cell r="F831">
            <v>10.463605210474039</v>
          </cell>
          <cell r="G831">
            <v>7.366016685124853</v>
          </cell>
          <cell r="H831">
            <v>4.8591868883538565</v>
          </cell>
          <cell r="I831">
            <v>2.3051785041798865</v>
          </cell>
          <cell r="J831">
            <v>0.94684859367359397</v>
          </cell>
        </row>
        <row r="832">
          <cell r="A832" t="str">
            <v>RHES-SHNGABR</v>
          </cell>
          <cell r="B832" t="str">
            <v>VAR_fin</v>
          </cell>
          <cell r="C832" t="str">
            <v>RNGA</v>
          </cell>
          <cell r="D832">
            <v>18.495473362964624</v>
          </cell>
          <cell r="E832">
            <v>20.483822369848706</v>
          </cell>
          <cell r="F832">
            <v>11.40509723611695</v>
          </cell>
          <cell r="G832">
            <v>8.0287945547309878</v>
          </cell>
          <cell r="H832">
            <v>5.2964057641113538</v>
          </cell>
          <cell r="I832">
            <v>2.5125933612691402</v>
          </cell>
          <cell r="J832">
            <v>1.0112372129211906</v>
          </cell>
        </row>
        <row r="833">
          <cell r="A833" t="str">
            <v>RHES-SHNGABR</v>
          </cell>
          <cell r="B833" t="str">
            <v>VAR_ncap</v>
          </cell>
          <cell r="C833" t="str">
            <v>-</v>
          </cell>
          <cell r="E833">
            <v>0.15041305349379799</v>
          </cell>
          <cell r="F833">
            <v>2.24303120289568E-6</v>
          </cell>
          <cell r="G833">
            <v>4.8878090904517199E-6</v>
          </cell>
          <cell r="H833">
            <v>2.3316361983557601E-2</v>
          </cell>
          <cell r="I833">
            <v>0.163644131105358</v>
          </cell>
          <cell r="J833">
            <v>3.3855151606808201E-6</v>
          </cell>
        </row>
        <row r="834">
          <cell r="A834" t="str">
            <v>RHES-SHNGABR</v>
          </cell>
          <cell r="B834" t="str">
            <v>VAR_cap</v>
          </cell>
          <cell r="C834" t="str">
            <v>-</v>
          </cell>
          <cell r="D834">
            <v>1.4219190615860799</v>
          </cell>
          <cell r="E834">
            <v>1.5723306922808513</v>
          </cell>
          <cell r="F834">
            <v>1.2946643233812538</v>
          </cell>
          <cell r="G834">
            <v>1.2932621474372088</v>
          </cell>
          <cell r="H834">
            <v>0.39669875957132222</v>
          </cell>
          <cell r="I834">
            <v>0.18695784506481117</v>
          </cell>
          <cell r="J834">
            <v>0.1113153296470281</v>
          </cell>
        </row>
        <row r="835">
          <cell r="A835" t="str">
            <v>SCOM-SHLTHCHPHFC</v>
          </cell>
          <cell r="B835" t="str">
            <v>VAR_ncap</v>
          </cell>
          <cell r="C835" t="str">
            <v>-</v>
          </cell>
          <cell r="G835">
            <v>1.52923213657146E-3</v>
          </cell>
          <cell r="H835">
            <v>1.91231664404916E-3</v>
          </cell>
          <cell r="I835">
            <v>1.22201716060696E-3</v>
          </cell>
          <cell r="J835">
            <v>8.0594974953634502E-4</v>
          </cell>
        </row>
        <row r="836">
          <cell r="A836" t="str">
            <v>SCOM-SHLTHCHPHFC</v>
          </cell>
          <cell r="B836" t="str">
            <v>VAR_cap</v>
          </cell>
          <cell r="C836" t="str">
            <v>-</v>
          </cell>
          <cell r="G836">
            <v>1.52923213657146E-3</v>
          </cell>
          <cell r="H836">
            <v>2.4341437261804601E-3</v>
          </cell>
          <cell r="I836">
            <v>1.9359691026595897E-3</v>
          </cell>
          <cell r="J836">
            <v>1.24287125922371E-3</v>
          </cell>
        </row>
        <row r="837">
          <cell r="A837" t="str">
            <v>RHSA-WHNGABR</v>
          </cell>
          <cell r="B837" t="str">
            <v>VAR_fout</v>
          </cell>
          <cell r="C837" t="str">
            <v>RHSA-WHNGA</v>
          </cell>
          <cell r="D837">
            <v>6.3805777484808273</v>
          </cell>
          <cell r="E837">
            <v>5.2356337330010145</v>
          </cell>
          <cell r="F837">
            <v>5.2098911521953006</v>
          </cell>
          <cell r="G837">
            <v>3.4409882838664663</v>
          </cell>
          <cell r="H837">
            <v>2.3786588969339557</v>
          </cell>
          <cell r="I837">
            <v>1.4265533053604063</v>
          </cell>
          <cell r="J837">
            <v>0.63691958426298811</v>
          </cell>
        </row>
        <row r="838">
          <cell r="A838" t="str">
            <v>RHSA-WHNGABR</v>
          </cell>
          <cell r="B838" t="str">
            <v>VAR_fout</v>
          </cell>
          <cell r="C838" t="str">
            <v>CO2_R</v>
          </cell>
          <cell r="D838">
            <v>479.81944668575801</v>
          </cell>
          <cell r="E838">
            <v>391.63095827753</v>
          </cell>
          <cell r="F838">
            <v>555.54102999001702</v>
          </cell>
          <cell r="G838">
            <v>350.29291512057102</v>
          </cell>
          <cell r="H838">
            <v>239.63320577790401</v>
          </cell>
          <cell r="I838">
            <v>143.715243163791</v>
          </cell>
          <cell r="J838">
            <v>63.631392220190698</v>
          </cell>
        </row>
        <row r="839">
          <cell r="A839" t="str">
            <v>RHSA-WHNGABR</v>
          </cell>
          <cell r="B839" t="str">
            <v>VAR_fin</v>
          </cell>
          <cell r="C839" t="str">
            <v>RNGA</v>
          </cell>
          <cell r="D839">
            <v>8.5074369979744358</v>
          </cell>
          <cell r="E839">
            <v>6.9438113169774711</v>
          </cell>
          <cell r="F839">
            <v>9.8500182622343662</v>
          </cell>
          <cell r="G839">
            <v>6.2108672893718184</v>
          </cell>
          <cell r="H839">
            <v>4.2488157052819844</v>
          </cell>
          <cell r="I839">
            <v>2.5481426092870811</v>
          </cell>
          <cell r="J839">
            <v>1.1282161741168568</v>
          </cell>
        </row>
        <row r="840">
          <cell r="A840" t="str">
            <v>RHSA-WHNGABR</v>
          </cell>
          <cell r="B840" t="str">
            <v>VAR_ncap</v>
          </cell>
          <cell r="C840" t="str">
            <v>-</v>
          </cell>
          <cell r="E840">
            <v>1.2777307758621499E-5</v>
          </cell>
          <cell r="F840">
            <v>5.2685956135009598E-6</v>
          </cell>
          <cell r="G840">
            <v>6.4269173914872399E-6</v>
          </cell>
          <cell r="H840">
            <v>5.2216439385500801E-2</v>
          </cell>
          <cell r="I840">
            <v>4.9940391617701897E-2</v>
          </cell>
          <cell r="J840">
            <v>1.32053249867963E-5</v>
          </cell>
        </row>
        <row r="841">
          <cell r="A841" t="str">
            <v>RHSA-WHNGABR</v>
          </cell>
          <cell r="B841" t="str">
            <v>VAR_cap</v>
          </cell>
          <cell r="C841" t="str">
            <v>-</v>
          </cell>
          <cell r="D841">
            <v>0.43610075802020798</v>
          </cell>
          <cell r="E841">
            <v>0.43597688599444984</v>
          </cell>
          <cell r="F841">
            <v>0.43561150923411529</v>
          </cell>
          <cell r="G841">
            <v>0.43409237162383379</v>
          </cell>
          <cell r="H841">
            <v>0.16477732685106797</v>
          </cell>
          <cell r="I841">
            <v>0.10214673738134948</v>
          </cell>
          <cell r="J841">
            <v>5.8328135227309556E-2</v>
          </cell>
        </row>
        <row r="842">
          <cell r="A842" t="str">
            <v>ITOT-SWHWSTBR</v>
          </cell>
          <cell r="B842" t="str">
            <v>VAR_fout</v>
          </cell>
          <cell r="C842" t="str">
            <v>ITOT-SWH</v>
          </cell>
          <cell r="D842">
            <v>4.1174169544843391</v>
          </cell>
          <cell r="E842">
            <v>4.2667306877460165</v>
          </cell>
          <cell r="F842">
            <v>5.7220937662547611</v>
          </cell>
          <cell r="G842">
            <v>6.0522454199934543</v>
          </cell>
          <cell r="H842">
            <v>5.5194963051130177</v>
          </cell>
          <cell r="I842">
            <v>4.6504193290834204</v>
          </cell>
          <cell r="J842">
            <v>3.2361935718712505</v>
          </cell>
        </row>
        <row r="843">
          <cell r="A843" t="str">
            <v>ITOT-SWHWSTBR</v>
          </cell>
          <cell r="B843" t="str">
            <v>VAR_fout</v>
          </cell>
          <cell r="C843" t="str">
            <v>CO2_I</v>
          </cell>
          <cell r="D843">
            <v>723.66722230330799</v>
          </cell>
          <cell r="E843">
            <v>749.91024208869499</v>
          </cell>
          <cell r="F843">
            <v>1005.70132861447</v>
          </cell>
          <cell r="G843">
            <v>1063.72798290794</v>
          </cell>
          <cell r="H843">
            <v>970.09328998956005</v>
          </cell>
          <cell r="I843">
            <v>817.346427535874</v>
          </cell>
          <cell r="J843">
            <v>552.05655049568395</v>
          </cell>
        </row>
        <row r="844">
          <cell r="A844" t="str">
            <v>ITOT-SWHWSTBR</v>
          </cell>
          <cell r="B844" t="str">
            <v>VAR_fin</v>
          </cell>
          <cell r="C844" t="str">
            <v>IWST</v>
          </cell>
          <cell r="D844">
            <v>7.7981381713718525</v>
          </cell>
          <cell r="E844">
            <v>8.0809293328523033</v>
          </cell>
          <cell r="F844">
            <v>10.837298799724925</v>
          </cell>
          <cell r="G844">
            <v>11.462586022714868</v>
          </cell>
          <cell r="H844">
            <v>10.453591486956473</v>
          </cell>
          <cell r="I844">
            <v>8.8076123656883052</v>
          </cell>
          <cell r="J844">
            <v>5.9488852424103884</v>
          </cell>
        </row>
        <row r="845">
          <cell r="A845" t="str">
            <v>ITOT-SWHWSTBR</v>
          </cell>
          <cell r="B845" t="str">
            <v>VAR_ncap</v>
          </cell>
          <cell r="C845" t="str">
            <v>-</v>
          </cell>
          <cell r="E845">
            <v>2.9534702156191198E-4</v>
          </cell>
          <cell r="F845">
            <v>3.3034897794502402E-3</v>
          </cell>
          <cell r="G845">
            <v>1.1035311799147401E-3</v>
          </cell>
          <cell r="H845">
            <v>0.23190195988074799</v>
          </cell>
          <cell r="I845">
            <v>0.11157515758101599</v>
          </cell>
          <cell r="J845">
            <v>5.2789745238950303E-2</v>
          </cell>
        </row>
        <row r="846">
          <cell r="A846" t="str">
            <v>ITOT-SWHWSTBR</v>
          </cell>
          <cell r="B846" t="str">
            <v>VAR_cap</v>
          </cell>
          <cell r="C846" t="str">
            <v>-</v>
          </cell>
          <cell r="D846">
            <v>0.35954682816669398</v>
          </cell>
          <cell r="E846">
            <v>0.35972166923393006</v>
          </cell>
          <cell r="F846">
            <v>0.3627477669035265</v>
          </cell>
          <cell r="G846">
            <v>0.3624702228908267</v>
          </cell>
          <cell r="H846">
            <v>0.32833685575226623</v>
          </cell>
          <cell r="I846">
            <v>0.34288020154806803</v>
          </cell>
          <cell r="J846">
            <v>0.23012417435644186</v>
          </cell>
        </row>
        <row r="847">
          <cell r="A847" t="str">
            <v>SCOM-SHSTG-ELC</v>
          </cell>
          <cell r="B847" t="str">
            <v>VAR_fout</v>
          </cell>
          <cell r="C847" t="str">
            <v>SCOM-SHAELCB</v>
          </cell>
          <cell r="D847">
            <v>3.5495482986421672E-4</v>
          </cell>
          <cell r="E847">
            <v>3.2481469323005284E-3</v>
          </cell>
          <cell r="F847">
            <v>3.4663456736437062E-4</v>
          </cell>
          <cell r="G847">
            <v>3.5466579666674727E-4</v>
          </cell>
          <cell r="H847">
            <v>3.09822955498612E-4</v>
          </cell>
          <cell r="I847">
            <v>3.193450082812604E-4</v>
          </cell>
          <cell r="J847">
            <v>1.8732607262690048E-4</v>
          </cell>
        </row>
        <row r="848">
          <cell r="A848" t="str">
            <v>SCOM-SHSTG-ELC</v>
          </cell>
          <cell r="B848" t="str">
            <v>VAR_fin</v>
          </cell>
          <cell r="C848" t="str">
            <v>SCOM-SHAELCB</v>
          </cell>
          <cell r="D848">
            <v>3.6513783648456518E-4</v>
          </cell>
          <cell r="E848">
            <v>4.1674321010277699E-3</v>
          </cell>
          <cell r="F848">
            <v>4.0121692395879996E-4</v>
          </cell>
          <cell r="G848">
            <v>4.2504853415375652E-4</v>
          </cell>
          <cell r="H848">
            <v>3.4009411155447571E-4</v>
          </cell>
          <cell r="I848">
            <v>3.6988812789475416E-4</v>
          </cell>
          <cell r="J848">
            <v>2.0431558160977604E-4</v>
          </cell>
        </row>
        <row r="849">
          <cell r="A849" t="str">
            <v>SCOM-SHSTG-ELC</v>
          </cell>
          <cell r="B849" t="str">
            <v>VAR_ncap</v>
          </cell>
          <cell r="C849" t="str">
            <v>-</v>
          </cell>
          <cell r="D849">
            <v>3.8519432793578001E-2</v>
          </cell>
          <cell r="E849">
            <v>3.43417892742983E-4</v>
          </cell>
          <cell r="F849">
            <v>4.1560852433997799E-4</v>
          </cell>
          <cell r="G849">
            <v>4.8898083001516399E-4</v>
          </cell>
          <cell r="H849">
            <v>5.6108004265795998E-3</v>
          </cell>
          <cell r="I849">
            <v>9.3700430373273305E-4</v>
          </cell>
          <cell r="J849">
            <v>1.9352414973850701E-3</v>
          </cell>
        </row>
        <row r="850">
          <cell r="A850" t="str">
            <v>SCOM-SHSTG-ELC</v>
          </cell>
          <cell r="B850" t="str">
            <v>VAR_cap</v>
          </cell>
          <cell r="C850" t="str">
            <v>-</v>
          </cell>
          <cell r="D850">
            <v>3.8519432793578001E-2</v>
          </cell>
          <cell r="E850">
            <v>1.9201814735690097E-2</v>
          </cell>
          <cell r="F850">
            <v>1.7250380032952699E-2</v>
          </cell>
          <cell r="G850">
            <v>9.8810673846932012E-3</v>
          </cell>
          <cell r="H850">
            <v>8.0490361276436499E-3</v>
          </cell>
          <cell r="I850">
            <v>6.1525782276280697E-3</v>
          </cell>
          <cell r="J850">
            <v>4.2450086910241795E-3</v>
          </cell>
        </row>
        <row r="851">
          <cell r="A851" t="str">
            <v>SCOM-SHNGABR</v>
          </cell>
          <cell r="B851" t="str">
            <v>VAR_fout</v>
          </cell>
          <cell r="C851" t="str">
            <v>CO2_S</v>
          </cell>
          <cell r="D851">
            <v>1440.95087646311</v>
          </cell>
          <cell r="E851">
            <v>1508.4890124480301</v>
          </cell>
          <cell r="F851">
            <v>1282.2013583896501</v>
          </cell>
          <cell r="G851">
            <v>948.61851031839103</v>
          </cell>
          <cell r="H851">
            <v>635.329150650168</v>
          </cell>
          <cell r="I851">
            <v>338.22768668273602</v>
          </cell>
          <cell r="J851">
            <v>126.82231928101</v>
          </cell>
        </row>
        <row r="852">
          <cell r="A852" t="str">
            <v>SCOM-SHNGABR</v>
          </cell>
          <cell r="B852" t="str">
            <v>VAR_fout</v>
          </cell>
          <cell r="C852" t="str">
            <v>SCOM-SHNGA</v>
          </cell>
          <cell r="D852">
            <v>24.189797043386285</v>
          </cell>
          <cell r="E852">
            <v>25.32358573032193</v>
          </cell>
          <cell r="F852">
            <v>19.399026731304602</v>
          </cell>
          <cell r="G852">
            <v>14.580020031693589</v>
          </cell>
          <cell r="H852">
            <v>9.764843973041673</v>
          </cell>
          <cell r="I852">
            <v>5.1984716653405085</v>
          </cell>
          <cell r="J852">
            <v>1.9492260961283017</v>
          </cell>
        </row>
        <row r="853">
          <cell r="A853" t="str">
            <v>SCOM-SHNGABR</v>
          </cell>
          <cell r="B853" t="str">
            <v>VAR_fin</v>
          </cell>
          <cell r="C853" t="str">
            <v>SNGA</v>
          </cell>
          <cell r="D853">
            <v>25.548774405374239</v>
          </cell>
          <cell r="E853">
            <v>26.746259085957991</v>
          </cell>
          <cell r="F853">
            <v>22.734066638114321</v>
          </cell>
          <cell r="G853">
            <v>16.819477133304794</v>
          </cell>
          <cell r="H853">
            <v>11.264701252662539</v>
          </cell>
          <cell r="I853">
            <v>5.996944799339297</v>
          </cell>
          <cell r="J853">
            <v>2.2486226822874098</v>
          </cell>
        </row>
        <row r="854">
          <cell r="A854" t="str">
            <v>SCOM-SHNGABR</v>
          </cell>
          <cell r="B854" t="str">
            <v>VAR_ncap</v>
          </cell>
          <cell r="C854" t="str">
            <v>-</v>
          </cell>
          <cell r="D854">
            <v>2.9012457790720198E-6</v>
          </cell>
          <cell r="E854">
            <v>1.64373638095966E-5</v>
          </cell>
          <cell r="F854">
            <v>1.5256804537481399E-5</v>
          </cell>
          <cell r="G854">
            <v>2.4841632924722501E-5</v>
          </cell>
          <cell r="H854">
            <v>0.46614229830663301</v>
          </cell>
          <cell r="I854">
            <v>5.7119055890831397E-2</v>
          </cell>
          <cell r="J854">
            <v>1.75644198018808E-4</v>
          </cell>
        </row>
        <row r="855">
          <cell r="A855" t="str">
            <v>SCOM-SHNGABR</v>
          </cell>
          <cell r="B855" t="str">
            <v>VAR_cap</v>
          </cell>
          <cell r="C855" t="str">
            <v>-</v>
          </cell>
          <cell r="D855">
            <v>2.7746843991209991</v>
          </cell>
          <cell r="E855">
            <v>2.7634927996358405</v>
          </cell>
          <cell r="F855">
            <v>2.4548937160890181</v>
          </cell>
          <cell r="G855">
            <v>2.4530584458586695</v>
          </cell>
          <cell r="H855">
            <v>1.1022930684524039</v>
          </cell>
          <cell r="I855">
            <v>0.5232476899220404</v>
          </cell>
          <cell r="J855">
            <v>0.23876433598385777</v>
          </cell>
        </row>
        <row r="856">
          <cell r="A856" t="str">
            <v>RHEM-SHELCHP</v>
          </cell>
          <cell r="B856" t="str">
            <v>VAR_fout</v>
          </cell>
          <cell r="C856" t="str">
            <v>RHEM-SHAELCH</v>
          </cell>
          <cell r="D856">
            <v>9.9030336787867057</v>
          </cell>
          <cell r="E856">
            <v>11.655398608142388</v>
          </cell>
          <cell r="F856">
            <v>10.026877923705543</v>
          </cell>
          <cell r="G856">
            <v>14.926953389533587</v>
          </cell>
          <cell r="H856">
            <v>18.148845412049877</v>
          </cell>
          <cell r="I856">
            <v>22.204624174655933</v>
          </cell>
          <cell r="J856">
            <v>22.172924804185033</v>
          </cell>
        </row>
        <row r="857">
          <cell r="A857" t="str">
            <v>RHEM-SHELCHP</v>
          </cell>
          <cell r="B857" t="str">
            <v>VAR_fin</v>
          </cell>
          <cell r="C857" t="str">
            <v>RHEMELCHPC</v>
          </cell>
          <cell r="D857">
            <v>9.9030336787867057</v>
          </cell>
          <cell r="E857">
            <v>11.655398608142388</v>
          </cell>
          <cell r="F857">
            <v>10.026877923705543</v>
          </cell>
          <cell r="G857">
            <v>14.926953389533587</v>
          </cell>
          <cell r="H857">
            <v>18.148845412049877</v>
          </cell>
          <cell r="I857">
            <v>22.204624174655933</v>
          </cell>
          <cell r="J857">
            <v>22.172924804185033</v>
          </cell>
        </row>
        <row r="858">
          <cell r="A858" t="str">
            <v>RHEM-SHELCHP</v>
          </cell>
          <cell r="B858" t="str">
            <v>VAR_fin</v>
          </cell>
          <cell r="C858" t="str">
            <v>RHEM_ELC</v>
          </cell>
          <cell r="D858">
            <v>3.0946980246208424</v>
          </cell>
          <cell r="E858">
            <v>3.5826020311913149</v>
          </cell>
          <cell r="F858">
            <v>3.2329103877177485</v>
          </cell>
          <cell r="G858">
            <v>4.41162619889006</v>
          </cell>
          <cell r="H858">
            <v>5.0742858590200459</v>
          </cell>
          <cell r="I858">
            <v>5.8648201085904628</v>
          </cell>
          <cell r="J858">
            <v>5.3537328624390561</v>
          </cell>
        </row>
        <row r="859">
          <cell r="A859" t="str">
            <v>RHEM-SHELCHP</v>
          </cell>
          <cell r="B859" t="str">
            <v>VAR_ncap</v>
          </cell>
          <cell r="C859" t="str">
            <v>-</v>
          </cell>
          <cell r="D859">
            <v>1.6770873841115299E-5</v>
          </cell>
          <cell r="E859">
            <v>0.123748897446756</v>
          </cell>
          <cell r="F859">
            <v>1.8095301967799099E-5</v>
          </cell>
          <cell r="G859">
            <v>0.23159534139048599</v>
          </cell>
          <cell r="H859">
            <v>0.80598808654686604</v>
          </cell>
          <cell r="I859">
            <v>0.60491459528123803</v>
          </cell>
          <cell r="J859">
            <v>0.78631756156201005</v>
          </cell>
        </row>
        <row r="860">
          <cell r="A860" t="str">
            <v>RHEM-SHELCHP</v>
          </cell>
          <cell r="B860" t="str">
            <v>VAR_cap</v>
          </cell>
          <cell r="C860" t="str">
            <v>-</v>
          </cell>
          <cell r="D860">
            <v>0.69926872126584017</v>
          </cell>
          <cell r="E860">
            <v>0.82301637656344617</v>
          </cell>
          <cell r="F860">
            <v>0.82300757433657745</v>
          </cell>
          <cell r="G860">
            <v>1.0546161103294747</v>
          </cell>
          <cell r="H860">
            <v>1.2823223919100926</v>
          </cell>
          <cell r="I860">
            <v>1.5690753228048686</v>
          </cell>
          <cell r="J860">
            <v>1.5662496365169676</v>
          </cell>
        </row>
        <row r="861">
          <cell r="A861" t="str">
            <v>RHNM-SHSTG-ELC</v>
          </cell>
          <cell r="B861" t="str">
            <v>VAR_fout</v>
          </cell>
          <cell r="C861" t="str">
            <v>RHNM-SHAELCB</v>
          </cell>
          <cell r="E861">
            <v>9.9264222043302427E-3</v>
          </cell>
          <cell r="F861">
            <v>8.3209543619146195E-5</v>
          </cell>
          <cell r="G861">
            <v>9.7060361446588191E-5</v>
          </cell>
          <cell r="H861">
            <v>5.7804167233178827E-5</v>
          </cell>
          <cell r="I861">
            <v>1.7821184601581015E-4</v>
          </cell>
          <cell r="J861">
            <v>2.3491275427933172E-4</v>
          </cell>
        </row>
        <row r="862">
          <cell r="A862" t="str">
            <v>RHNM-SHSTG-ELC</v>
          </cell>
          <cell r="B862" t="str">
            <v>VAR_fout</v>
          </cell>
          <cell r="C862" t="str">
            <v>AUX_RHNM-SHSTG-ELC_OUT</v>
          </cell>
          <cell r="E862">
            <v>9.9363486265345771E-3</v>
          </cell>
          <cell r="F862">
            <v>8.3292753162765324E-5</v>
          </cell>
          <cell r="G862">
            <v>9.7157421808034727E-5</v>
          </cell>
          <cell r="H862">
            <v>5.786197140041198E-5</v>
          </cell>
          <cell r="I862">
            <v>1.7839005786182574E-4</v>
          </cell>
          <cell r="J862">
            <v>2.3514766703361089E-4</v>
          </cell>
        </row>
        <row r="863">
          <cell r="A863" t="str">
            <v>RHNM-SHSTG-ELC</v>
          </cell>
          <cell r="B863" t="str">
            <v>VAR_fin</v>
          </cell>
          <cell r="C863" t="str">
            <v>RHNM-SHAELCB</v>
          </cell>
          <cell r="E863">
            <v>9.849867811119661E-3</v>
          </cell>
          <cell r="F863">
            <v>2.563763619232318E-6</v>
          </cell>
          <cell r="G863">
            <v>3.0603237861941303E-5</v>
          </cell>
          <cell r="H863">
            <v>2.0808881230978791E-5</v>
          </cell>
          <cell r="I863">
            <v>1.1005072766313628E-4</v>
          </cell>
          <cell r="J863">
            <v>2.300625380664694E-4</v>
          </cell>
        </row>
        <row r="864">
          <cell r="A864" t="str">
            <v>RHNM-SHSTG-ELC</v>
          </cell>
          <cell r="B864" t="str">
            <v>VAR_ncap</v>
          </cell>
          <cell r="C864" t="str">
            <v>-</v>
          </cell>
          <cell r="D864">
            <v>1.46304056633485E-3</v>
          </cell>
          <cell r="E864">
            <v>2.7784448571520799E-3</v>
          </cell>
          <cell r="F864">
            <v>1.00507553242694E-3</v>
          </cell>
          <cell r="G864">
            <v>1.09258826339476E-3</v>
          </cell>
          <cell r="H864">
            <v>3.0765462761498099E-3</v>
          </cell>
          <cell r="I864">
            <v>8.2644686225426104E-4</v>
          </cell>
          <cell r="J864">
            <v>6.2229621783620897E-4</v>
          </cell>
        </row>
        <row r="865">
          <cell r="A865" t="str">
            <v>RHNM-SHSTG-ELC</v>
          </cell>
          <cell r="B865" t="str">
            <v>VAR_cap</v>
          </cell>
          <cell r="C865" t="str">
            <v>-</v>
          </cell>
          <cell r="D865">
            <v>1.46304056633485E-3</v>
          </cell>
          <cell r="E865">
            <v>4.0725712060975493E-3</v>
          </cell>
          <cell r="F865">
            <v>4.2466008414726707E-3</v>
          </cell>
          <cell r="G865">
            <v>4.2338206927211401E-3</v>
          </cell>
          <cell r="H865">
            <v>5.2637407328513797E-3</v>
          </cell>
          <cell r="I865">
            <v>3.1296324969747906E-3</v>
          </cell>
          <cell r="J865">
            <v>1.3246188133629101E-3</v>
          </cell>
        </row>
        <row r="866">
          <cell r="A866" t="str">
            <v>D-RWOD</v>
          </cell>
          <cell r="B866" t="str">
            <v>VAR_fout</v>
          </cell>
          <cell r="C866" t="str">
            <v>RWOD</v>
          </cell>
          <cell r="D866">
            <v>13.723481082941639</v>
          </cell>
          <cell r="E866">
            <v>15.204634650354425</v>
          </cell>
          <cell r="F866">
            <v>16.945578762872383</v>
          </cell>
          <cell r="G866">
            <v>15.000448781571004</v>
          </cell>
          <cell r="H866">
            <v>12.719797254982412</v>
          </cell>
          <cell r="I866">
            <v>10.590821377812407</v>
          </cell>
          <cell r="J866">
            <v>6.1682967456821167</v>
          </cell>
        </row>
        <row r="867">
          <cell r="A867" t="str">
            <v>D-RWOD</v>
          </cell>
          <cell r="B867" t="str">
            <v>VAR_fin</v>
          </cell>
          <cell r="C867" t="str">
            <v>WOD</v>
          </cell>
          <cell r="D867">
            <v>13.723481082941639</v>
          </cell>
          <cell r="E867">
            <v>15.204634650354425</v>
          </cell>
          <cell r="F867">
            <v>16.945578762872383</v>
          </cell>
          <cell r="G867">
            <v>15.000448781571004</v>
          </cell>
          <cell r="H867">
            <v>12.719797254982412</v>
          </cell>
          <cell r="I867">
            <v>10.590821377812407</v>
          </cell>
          <cell r="J867">
            <v>6.1682967456821167</v>
          </cell>
        </row>
        <row r="868">
          <cell r="A868" t="str">
            <v>RHNS-SHLTHCHPWOD</v>
          </cell>
          <cell r="B868" t="str">
            <v>VAR_ncap</v>
          </cell>
          <cell r="C868" t="str">
            <v>-</v>
          </cell>
          <cell r="G868">
            <v>1.6837955093124401E-4</v>
          </cell>
          <cell r="H868">
            <v>2.6672825217644399E-4</v>
          </cell>
          <cell r="I868">
            <v>1.6298712744368201E-4</v>
          </cell>
          <cell r="J868">
            <v>8.6419799409509198E-5</v>
          </cell>
        </row>
        <row r="869">
          <cell r="A869" t="str">
            <v>RHNS-SHLTHCHPWOD</v>
          </cell>
          <cell r="B869" t="str">
            <v>VAR_cap</v>
          </cell>
          <cell r="C869" t="str">
            <v>-</v>
          </cell>
          <cell r="G869">
            <v>1.6837955093124401E-4</v>
          </cell>
          <cell r="H869">
            <v>3.4814121434119502E-4</v>
          </cell>
          <cell r="I869">
            <v>2.9686820024819101E-4</v>
          </cell>
          <cell r="J869">
            <v>1.4699375846580602E-4</v>
          </cell>
        </row>
        <row r="870">
          <cell r="A870" t="str">
            <v>RHNM-SHELCBR</v>
          </cell>
          <cell r="B870" t="str">
            <v>VAR_fout</v>
          </cell>
          <cell r="C870" t="str">
            <v>RHNM-SHAELCB</v>
          </cell>
          <cell r="E870">
            <v>0.15443791056843106</v>
          </cell>
          <cell r="F870">
            <v>7.8965347869375117E-4</v>
          </cell>
          <cell r="G870">
            <v>1.6595769052436217E-3</v>
          </cell>
          <cell r="H870">
            <v>1.7863504442530425E-3</v>
          </cell>
          <cell r="I870">
            <v>1.9800421899642197E-3</v>
          </cell>
          <cell r="J870">
            <v>1.9671522180627244E-3</v>
          </cell>
        </row>
        <row r="871">
          <cell r="A871" t="str">
            <v>RHNM-SHELCBR</v>
          </cell>
          <cell r="B871" t="str">
            <v>VAR_fin</v>
          </cell>
          <cell r="C871" t="str">
            <v>RHNM_ELC</v>
          </cell>
          <cell r="E871">
            <v>0.1625662216509802</v>
          </cell>
          <cell r="F871">
            <v>8.3121418809868532E-4</v>
          </cell>
          <cell r="G871">
            <v>1.7469230581511812E-3</v>
          </cell>
          <cell r="H871">
            <v>1.8803688886874126E-3</v>
          </cell>
          <cell r="I871">
            <v>2.0842549368044407E-3</v>
          </cell>
          <cell r="J871">
            <v>2.0706865453291824E-3</v>
          </cell>
        </row>
        <row r="872">
          <cell r="A872" t="str">
            <v>RHNM-SHELCBR</v>
          </cell>
          <cell r="B872" t="str">
            <v>VAR_ncap</v>
          </cell>
          <cell r="C872" t="str">
            <v>-</v>
          </cell>
          <cell r="E872">
            <v>1.8020079448868701E-2</v>
          </cell>
          <cell r="H872">
            <v>1.32838727444236E-2</v>
          </cell>
        </row>
        <row r="873">
          <cell r="A873" t="str">
            <v>RHNM-SHELCBR</v>
          </cell>
          <cell r="B873" t="str">
            <v>VAR_cap</v>
          </cell>
          <cell r="C873" t="str">
            <v>-</v>
          </cell>
          <cell r="E873">
            <v>1.8020079448868701E-2</v>
          </cell>
          <cell r="F873">
            <v>1.7997740967347738E-2</v>
          </cell>
          <cell r="G873">
            <v>1.7944480003585919E-2</v>
          </cell>
          <cell r="H873">
            <v>2.2385455252757095E-2</v>
          </cell>
          <cell r="I873">
            <v>1.3275811273817783E-2</v>
          </cell>
          <cell r="J873">
            <v>5.6033779479975464E-3</v>
          </cell>
        </row>
        <row r="874">
          <cell r="A874" t="str">
            <v>RHNS-SHSTG-NGAHP</v>
          </cell>
          <cell r="B874" t="str">
            <v>VAR_fout</v>
          </cell>
          <cell r="C874" t="str">
            <v>RHNS-SHANGAH</v>
          </cell>
          <cell r="F874">
            <v>8.0226647865538452E-3</v>
          </cell>
          <cell r="G874">
            <v>2.5937406398620362E-2</v>
          </cell>
          <cell r="H874">
            <v>3.4851856355146045E-2</v>
          </cell>
          <cell r="I874">
            <v>4.4256230077575814E-2</v>
          </cell>
          <cell r="J874">
            <v>5.8892308154677643E-2</v>
          </cell>
        </row>
        <row r="875">
          <cell r="A875" t="str">
            <v>RHNS-SHSTG-NGAHP</v>
          </cell>
          <cell r="B875" t="str">
            <v>VAR_fout</v>
          </cell>
          <cell r="C875" t="str">
            <v>AUX_RHNS-SHSTG-NGAHP_OUT</v>
          </cell>
          <cell r="F875">
            <v>8.0306874513404059E-3</v>
          </cell>
          <cell r="G875">
            <v>2.5963343805019003E-2</v>
          </cell>
          <cell r="H875">
            <v>3.4886708211501131E-2</v>
          </cell>
          <cell r="I875">
            <v>4.4300486307653389E-2</v>
          </cell>
          <cell r="J875">
            <v>5.8951200462832316E-2</v>
          </cell>
        </row>
        <row r="876">
          <cell r="A876" t="str">
            <v>RHNS-SHSTG-NGAHP</v>
          </cell>
          <cell r="B876" t="str">
            <v>VAR_fin</v>
          </cell>
          <cell r="C876" t="str">
            <v>RHNS-SHANGAH</v>
          </cell>
          <cell r="F876">
            <v>8.4172563144792427E-3</v>
          </cell>
          <cell r="G876">
            <v>2.6331543328010982E-2</v>
          </cell>
          <cell r="H876">
            <v>3.5130502526852944E-2</v>
          </cell>
          <cell r="I876">
            <v>4.447351681209346E-2</v>
          </cell>
          <cell r="J876">
            <v>5.9170920231497968E-2</v>
          </cell>
        </row>
        <row r="877">
          <cell r="A877" t="str">
            <v>RHNS-SHSTG-NGAHP</v>
          </cell>
          <cell r="B877" t="str">
            <v>VAR_ncap</v>
          </cell>
          <cell r="C877" t="str">
            <v>-</v>
          </cell>
          <cell r="D877">
            <v>1.7812537811365899E-4</v>
          </cell>
          <cell r="E877">
            <v>1.8380635264387399E-4</v>
          </cell>
          <cell r="F877">
            <v>2.8099369215082298E-3</v>
          </cell>
          <cell r="G877">
            <v>4.71562458131529E-3</v>
          </cell>
          <cell r="H877">
            <v>3.4367378081101999E-3</v>
          </cell>
          <cell r="I877">
            <v>6.2811544181923E-3</v>
          </cell>
          <cell r="J877">
            <v>9.6910203138090897E-3</v>
          </cell>
        </row>
        <row r="878">
          <cell r="A878" t="str">
            <v>RHNS-SHSTG-NGAHP</v>
          </cell>
          <cell r="B878" t="str">
            <v>VAR_cap</v>
          </cell>
          <cell r="C878" t="str">
            <v>-</v>
          </cell>
          <cell r="D878">
            <v>1.7812537811365899E-4</v>
          </cell>
          <cell r="E878">
            <v>1.3933460359447005E-5</v>
          </cell>
          <cell r="F878">
            <v>2.6735978844528831E-3</v>
          </cell>
          <cell r="G878">
            <v>7.0657019005456794E-3</v>
          </cell>
          <cell r="H878">
            <v>1.007170819774156E-2</v>
          </cell>
          <cell r="I878">
            <v>1.2522084497946284E-2</v>
          </cell>
          <cell r="J878">
            <v>1.513709656016295E-2</v>
          </cell>
        </row>
        <row r="879">
          <cell r="A879" t="str">
            <v>RHNS-SHLTHDH</v>
          </cell>
          <cell r="B879" t="str">
            <v>VAR_fout</v>
          </cell>
          <cell r="C879" t="str">
            <v>RHNS-SHLTHD</v>
          </cell>
          <cell r="E879">
            <v>5.4175690548459679E-2</v>
          </cell>
          <cell r="F879">
            <v>3.0916322868036572E-3</v>
          </cell>
          <cell r="G879">
            <v>0.14949902547956601</v>
          </cell>
          <cell r="H879">
            <v>0.15934002505271527</v>
          </cell>
          <cell r="I879">
            <v>0.17132291797902582</v>
          </cell>
          <cell r="J879">
            <v>0.19868261028815468</v>
          </cell>
        </row>
        <row r="880">
          <cell r="A880" t="str">
            <v>RHNS-SHLTHDH</v>
          </cell>
          <cell r="B880" t="str">
            <v>VAR_fin</v>
          </cell>
          <cell r="C880" t="str">
            <v>RHNS_LTH_DH</v>
          </cell>
          <cell r="E880">
            <v>5.4722919745918884E-2</v>
          </cell>
          <cell r="F880">
            <v>3.4194417493835089E-3</v>
          </cell>
          <cell r="G880">
            <v>0.16441057041326471</v>
          </cell>
          <cell r="H880">
            <v>0.17518280883366746</v>
          </cell>
          <cell r="I880">
            <v>0.18826841729994523</v>
          </cell>
          <cell r="J880">
            <v>0.21820988630940233</v>
          </cell>
        </row>
        <row r="881">
          <cell r="A881" t="str">
            <v>RHNS-SHLTHDH</v>
          </cell>
          <cell r="B881" t="str">
            <v>VAR_fin</v>
          </cell>
          <cell r="C881" t="str">
            <v>RHNSLTHDHC</v>
          </cell>
          <cell r="E881">
            <v>5.4175690548459679E-2</v>
          </cell>
          <cell r="F881">
            <v>3.0916322868036572E-3</v>
          </cell>
          <cell r="G881">
            <v>0.14949902547956601</v>
          </cell>
          <cell r="H881">
            <v>0.15934002505271527</v>
          </cell>
          <cell r="I881">
            <v>0.17132291797902582</v>
          </cell>
          <cell r="J881">
            <v>0.19868261028815468</v>
          </cell>
        </row>
        <row r="882">
          <cell r="A882" t="str">
            <v>RHNS-SHLTHDH</v>
          </cell>
          <cell r="B882" t="str">
            <v>VAR_ncap</v>
          </cell>
          <cell r="C882" t="str">
            <v>-</v>
          </cell>
          <cell r="E882">
            <v>1.5589720533196899E-2</v>
          </cell>
          <cell r="F882">
            <v>4.0900792287968099E-2</v>
          </cell>
          <cell r="G882">
            <v>1.63603508135543E-2</v>
          </cell>
          <cell r="H882">
            <v>9.6422066897580306E-3</v>
          </cell>
          <cell r="I882">
            <v>8.2991758476471302E-3</v>
          </cell>
          <cell r="J882">
            <v>1.20191159298684E-2</v>
          </cell>
        </row>
        <row r="883">
          <cell r="A883" t="str">
            <v>RHNS-SHLTHDH</v>
          </cell>
          <cell r="B883" t="str">
            <v>VAR_cap</v>
          </cell>
          <cell r="C883" t="str">
            <v>-</v>
          </cell>
          <cell r="E883">
            <v>1.5589720533196899E-2</v>
          </cell>
          <cell r="F883">
            <v>4.9846483391263657E-2</v>
          </cell>
          <cell r="G883">
            <v>2.8368461115262804E-2</v>
          </cell>
          <cell r="H883">
            <v>2.0519111076851802E-2</v>
          </cell>
          <cell r="I883">
            <v>1.8208135156784003E-2</v>
          </cell>
          <cell r="J883">
            <v>2.0541638460848E-2</v>
          </cell>
        </row>
        <row r="884">
          <cell r="A884" t="str">
            <v>ITOT-SWHNGAHP</v>
          </cell>
          <cell r="B884" t="str">
            <v>VAR_fout</v>
          </cell>
          <cell r="C884" t="str">
            <v>ITOT-SWHANGAH</v>
          </cell>
          <cell r="F884">
            <v>7.2732520008101903E-2</v>
          </cell>
          <cell r="G884">
            <v>2.6222601149550204E-2</v>
          </cell>
          <cell r="H884">
            <v>5.6870534787086757E-2</v>
          </cell>
          <cell r="I884">
            <v>3.1031856556590649E-2</v>
          </cell>
          <cell r="J884">
            <v>1.9324300630132258E-2</v>
          </cell>
        </row>
        <row r="885">
          <cell r="A885" t="str">
            <v>ITOT-SWHNGAHP</v>
          </cell>
          <cell r="B885" t="str">
            <v>VAR_fout</v>
          </cell>
          <cell r="C885" t="str">
            <v>CO2_I</v>
          </cell>
          <cell r="F885">
            <v>2.1756984185718902</v>
          </cell>
          <cell r="G885">
            <v>0.76938328260584998</v>
          </cell>
          <cell r="H885">
            <v>1.63723383858445</v>
          </cell>
          <cell r="I885">
            <v>0.87688198534231299</v>
          </cell>
          <cell r="J885">
            <v>0.52661798049248498</v>
          </cell>
        </row>
        <row r="886">
          <cell r="A886" t="str">
            <v>ITOT-SWHNGAHP</v>
          </cell>
          <cell r="B886" t="str">
            <v>VAR_fin</v>
          </cell>
          <cell r="C886" t="str">
            <v>ITOTELCHPC</v>
          </cell>
          <cell r="F886">
            <v>7.2732520008101903E-2</v>
          </cell>
          <cell r="G886">
            <v>2.6222601149550204E-2</v>
          </cell>
          <cell r="H886">
            <v>5.6870534787086757E-2</v>
          </cell>
          <cell r="I886">
            <v>3.1031856556590649E-2</v>
          </cell>
          <cell r="J886">
            <v>1.9324300630132258E-2</v>
          </cell>
        </row>
        <row r="887">
          <cell r="A887" t="str">
            <v>ITOT-SWHNGAHP</v>
          </cell>
          <cell r="B887" t="str">
            <v>VAR_fin</v>
          </cell>
          <cell r="C887" t="str">
            <v>INGA</v>
          </cell>
          <cell r="F887">
            <v>3.8576213095246274E-2</v>
          </cell>
          <cell r="G887">
            <v>1.3641547563933517E-2</v>
          </cell>
          <cell r="H887">
            <v>2.9028968769227743E-2</v>
          </cell>
          <cell r="I887">
            <v>1.5547552931601278E-2</v>
          </cell>
          <cell r="J887">
            <v>9.3371982356823587E-3</v>
          </cell>
        </row>
        <row r="888">
          <cell r="A888" t="str">
            <v>ITOT-SWHNGAHP</v>
          </cell>
          <cell r="B888" t="str">
            <v>VAR_ncap</v>
          </cell>
          <cell r="C888" t="str">
            <v>-</v>
          </cell>
          <cell r="E888">
            <v>6.2952223019076096E-3</v>
          </cell>
          <cell r="F888">
            <v>1.34452987966574E-4</v>
          </cell>
          <cell r="G888">
            <v>1.91726294880785E-5</v>
          </cell>
          <cell r="H888">
            <v>3.77637327498142E-3</v>
          </cell>
          <cell r="I888">
            <v>7.9196817323648003E-5</v>
          </cell>
          <cell r="J888">
            <v>6.0129449991752702E-4</v>
          </cell>
        </row>
        <row r="889">
          <cell r="A889" t="str">
            <v>ITOT-SWHNGAHP</v>
          </cell>
          <cell r="B889" t="str">
            <v>VAR_cap</v>
          </cell>
          <cell r="C889" t="str">
            <v>-</v>
          </cell>
          <cell r="E889">
            <v>6.2952223019076096E-3</v>
          </cell>
          <cell r="F889">
            <v>6.4007498035958616E-3</v>
          </cell>
          <cell r="G889">
            <v>2.8293946700429897E-3</v>
          </cell>
          <cell r="H889">
            <v>5.2764141138245801E-3</v>
          </cell>
          <cell r="I889">
            <v>3.3358025842918958E-3</v>
          </cell>
          <cell r="J889">
            <v>1.9888529647645158E-3</v>
          </cell>
        </row>
        <row r="890">
          <cell r="A890" t="str">
            <v>RHSA-WHLFOBR</v>
          </cell>
          <cell r="B890" t="str">
            <v>VAR_fout</v>
          </cell>
          <cell r="C890" t="str">
            <v>CO2_R</v>
          </cell>
          <cell r="D890">
            <v>726.729998070021</v>
          </cell>
          <cell r="E890">
            <v>603.81232171432998</v>
          </cell>
          <cell r="F890">
            <v>658.22139672475805</v>
          </cell>
          <cell r="G890">
            <v>290.89892708687398</v>
          </cell>
          <cell r="H890">
            <v>194.827938128227</v>
          </cell>
          <cell r="I890">
            <v>96.612354264071996</v>
          </cell>
          <cell r="J890">
            <v>7.2910471320438504</v>
          </cell>
        </row>
        <row r="891">
          <cell r="A891" t="str">
            <v>RHSA-WHLFOBR</v>
          </cell>
          <cell r="B891" t="str">
            <v>VAR_fout</v>
          </cell>
          <cell r="C891" t="str">
            <v>RHSA-WHLFO</v>
          </cell>
          <cell r="D891">
            <v>6.9846279778326181</v>
          </cell>
          <cell r="E891">
            <v>5.8544670496385915</v>
          </cell>
          <cell r="F891">
            <v>4.4836979255221125</v>
          </cell>
          <cell r="G891">
            <v>2.1231662544547563</v>
          </cell>
          <cell r="H891">
            <v>1.4574522724710124</v>
          </cell>
          <cell r="I891">
            <v>0.73351587160113951</v>
          </cell>
          <cell r="J891">
            <v>5.835306005670108E-2</v>
          </cell>
        </row>
        <row r="892">
          <cell r="A892" t="str">
            <v>RHSA-WHLFOBR</v>
          </cell>
          <cell r="B892" t="str">
            <v>VAR_fin</v>
          </cell>
          <cell r="C892" t="str">
            <v>RLFO</v>
          </cell>
          <cell r="D892">
            <v>9.8606512628225165</v>
          </cell>
          <cell r="E892">
            <v>8.1928401860831652</v>
          </cell>
          <cell r="F892">
            <v>8.9310908646507343</v>
          </cell>
          <cell r="G892">
            <v>3.9470682101339736</v>
          </cell>
          <cell r="H892">
            <v>2.6435269759596611</v>
          </cell>
          <cell r="I892">
            <v>1.3108867607065386</v>
          </cell>
          <cell r="J892">
            <v>9.8928726350662785E-2</v>
          </cell>
        </row>
        <row r="893">
          <cell r="A893" t="str">
            <v>RHSA-WHLFOBR</v>
          </cell>
          <cell r="B893" t="str">
            <v>VAR_ncap</v>
          </cell>
          <cell r="C893" t="str">
            <v>-</v>
          </cell>
          <cell r="E893">
            <v>6.7005014714817597E-6</v>
          </cell>
          <cell r="F893">
            <v>2.76600558444557E-6</v>
          </cell>
          <cell r="G893">
            <v>5.4987703994920097E-6</v>
          </cell>
          <cell r="H893">
            <v>4.5716107692648597E-2</v>
          </cell>
          <cell r="I893">
            <v>4.6865889155324504E-3</v>
          </cell>
        </row>
        <row r="894">
          <cell r="A894" t="str">
            <v>RHSA-WHLFOBR</v>
          </cell>
          <cell r="B894" t="str">
            <v>VAR_cap</v>
          </cell>
          <cell r="C894" t="str">
            <v>-</v>
          </cell>
          <cell r="D894">
            <v>0.47738433216181703</v>
          </cell>
          <cell r="E894">
            <v>0.47722932399319301</v>
          </cell>
          <cell r="F894">
            <v>0.35136389197531193</v>
          </cell>
          <cell r="G894">
            <v>0.22652625532743143</v>
          </cell>
          <cell r="H894">
            <v>0.10444688192184001</v>
          </cell>
          <cell r="I894">
            <v>5.0396972234560015E-2</v>
          </cell>
          <cell r="J894">
            <v>5.7820951305594011E-3</v>
          </cell>
        </row>
        <row r="895">
          <cell r="A895" t="str">
            <v>D-IWST</v>
          </cell>
          <cell r="B895" t="str">
            <v>VAR_fout</v>
          </cell>
          <cell r="C895" t="str">
            <v>CO2</v>
          </cell>
          <cell r="D895">
            <v>1068.1467514154299</v>
          </cell>
          <cell r="E895">
            <v>1114.5279192180899</v>
          </cell>
          <cell r="F895">
            <v>1024.64874575832</v>
          </cell>
          <cell r="G895">
            <v>1085.2835714412199</v>
          </cell>
          <cell r="H895">
            <v>1001.75820873872</v>
          </cell>
          <cell r="I895">
            <v>1073.7819792759699</v>
          </cell>
          <cell r="J895">
            <v>1086.8531425791</v>
          </cell>
        </row>
        <row r="896">
          <cell r="A896" t="str">
            <v>D-IWST</v>
          </cell>
          <cell r="B896" t="str">
            <v>VAR_fout</v>
          </cell>
          <cell r="C896" t="str">
            <v>IWST</v>
          </cell>
          <cell r="D896">
            <v>11.510202062666306</v>
          </cell>
          <cell r="E896">
            <v>12.009999129505342</v>
          </cell>
          <cell r="F896">
            <v>11.041473553430187</v>
          </cell>
          <cell r="G896">
            <v>11.694866071564908</v>
          </cell>
          <cell r="H896">
            <v>10.794808283822427</v>
          </cell>
          <cell r="I896">
            <v>11.570926500818633</v>
          </cell>
          <cell r="J896">
            <v>11.711779553654047</v>
          </cell>
        </row>
        <row r="897">
          <cell r="A897" t="str">
            <v>D-IWST</v>
          </cell>
          <cell r="B897" t="str">
            <v>VAR_fin</v>
          </cell>
          <cell r="C897" t="str">
            <v>WSTNREN</v>
          </cell>
          <cell r="D897">
            <v>11.510202062666306</v>
          </cell>
          <cell r="E897">
            <v>12.009999129505342</v>
          </cell>
          <cell r="F897">
            <v>11.041473553430187</v>
          </cell>
          <cell r="G897">
            <v>11.694866071564908</v>
          </cell>
          <cell r="H897">
            <v>10.794808283822427</v>
          </cell>
          <cell r="I897">
            <v>11.570926500818633</v>
          </cell>
          <cell r="J897">
            <v>11.711779553654047</v>
          </cell>
        </row>
        <row r="898">
          <cell r="A898" t="str">
            <v>RHES-SHLFOBR</v>
          </cell>
          <cell r="B898" t="str">
            <v>VAR_fout</v>
          </cell>
          <cell r="C898" t="str">
            <v>CO2_R</v>
          </cell>
          <cell r="D898">
            <v>1783.67686066532</v>
          </cell>
          <cell r="E898">
            <v>1640.9746237633001</v>
          </cell>
          <cell r="F898">
            <v>1237.9224606564801</v>
          </cell>
          <cell r="G898">
            <v>591.29789336870397</v>
          </cell>
          <cell r="H898">
            <v>349.248890560738</v>
          </cell>
          <cell r="I898">
            <v>114.619027356453</v>
          </cell>
          <cell r="J898">
            <v>11.3057494504595</v>
          </cell>
        </row>
        <row r="899">
          <cell r="A899" t="str">
            <v>RHES-SHLFOBR</v>
          </cell>
          <cell r="B899" t="str">
            <v>VAR_fout</v>
          </cell>
          <cell r="C899" t="str">
            <v>RHES-SHLFO</v>
          </cell>
          <cell r="D899">
            <v>21.680830226314097</v>
          </cell>
          <cell r="E899">
            <v>19.946265496896796</v>
          </cell>
          <cell r="F899">
            <v>14.272948224789113</v>
          </cell>
          <cell r="G899">
            <v>6.9399075524483633</v>
          </cell>
          <cell r="H899">
            <v>4.1053607884264682</v>
          </cell>
          <cell r="I899">
            <v>1.3451158172911679</v>
          </cell>
          <cell r="J899">
            <v>0.1328840631179164</v>
          </cell>
        </row>
        <row r="900">
          <cell r="A900" t="str">
            <v>RHES-SHLFOBR</v>
          </cell>
          <cell r="B900" t="str">
            <v>VAR_fin</v>
          </cell>
          <cell r="C900" t="str">
            <v>RLFO</v>
          </cell>
          <cell r="D900">
            <v>24.201856996815707</v>
          </cell>
          <cell r="E900">
            <v>22.265598694210354</v>
          </cell>
          <cell r="F900">
            <v>16.796776942421751</v>
          </cell>
          <cell r="G900">
            <v>8.0230379018820077</v>
          </cell>
          <cell r="H900">
            <v>4.7387909166992923</v>
          </cell>
          <cell r="I900">
            <v>1.5552106832625927</v>
          </cell>
          <cell r="J900">
            <v>0.15340229919212398</v>
          </cell>
        </row>
        <row r="901">
          <cell r="A901" t="str">
            <v>RHES-SHLFOBR</v>
          </cell>
          <cell r="B901" t="str">
            <v>VAR_ncap</v>
          </cell>
          <cell r="C901" t="str">
            <v>-</v>
          </cell>
          <cell r="E901">
            <v>3.3023980335218099E-6</v>
          </cell>
          <cell r="F901">
            <v>2.0114775108692401E-6</v>
          </cell>
          <cell r="G901">
            <v>3.4041962712037801E-6</v>
          </cell>
          <cell r="H901">
            <v>1.40648372557907E-2</v>
          </cell>
          <cell r="I901">
            <v>9.4922254939259404E-2</v>
          </cell>
          <cell r="J901">
            <v>1.73037408254202E-6</v>
          </cell>
        </row>
        <row r="902">
          <cell r="A902" t="str">
            <v>RHES-SHLFOBR</v>
          </cell>
          <cell r="B902" t="str">
            <v>VAR_cap</v>
          </cell>
          <cell r="C902" t="str">
            <v>-</v>
          </cell>
          <cell r="D902">
            <v>1.7515307393373001</v>
          </cell>
          <cell r="E902">
            <v>1.7505536175479406</v>
          </cell>
          <cell r="F902">
            <v>1.2424715511101876</v>
          </cell>
          <cell r="G902">
            <v>1.2359052300486266</v>
          </cell>
          <cell r="H902">
            <v>0.3345663263783536</v>
          </cell>
          <cell r="I902">
            <v>0.10898313785380126</v>
          </cell>
          <cell r="J902">
            <v>1.7437651601324197E-2</v>
          </cell>
        </row>
        <row r="903">
          <cell r="A903" t="str">
            <v>ITOT-SWHSTG</v>
          </cell>
          <cell r="B903" t="str">
            <v>VAR_fout</v>
          </cell>
          <cell r="C903" t="str">
            <v>ITOT-SWH</v>
          </cell>
          <cell r="D903">
            <v>1.2012174318184833E-4</v>
          </cell>
          <cell r="E903">
            <v>4.8700551630116908E-3</v>
          </cell>
          <cell r="F903">
            <v>5.7055805585679201E-2</v>
          </cell>
          <cell r="G903">
            <v>3.2082192524260832E-2</v>
          </cell>
          <cell r="H903">
            <v>0.11748203749568582</v>
          </cell>
          <cell r="I903">
            <v>0.3230423817159459</v>
          </cell>
          <cell r="J903">
            <v>2.0069061696648056</v>
          </cell>
        </row>
        <row r="904">
          <cell r="A904" t="str">
            <v>ITOT-SWHSTG</v>
          </cell>
          <cell r="B904" t="str">
            <v>VAR_fout</v>
          </cell>
          <cell r="C904" t="str">
            <v>AUX_ITOT-STG_OUT</v>
          </cell>
          <cell r="D904">
            <v>1.2012174318184817E-4</v>
          </cell>
          <cell r="E904">
            <v>4.8660777814278945E-3</v>
          </cell>
          <cell r="F904">
            <v>5.6983030323452588E-2</v>
          </cell>
          <cell r="G904">
            <v>3.208219252426088E-2</v>
          </cell>
          <cell r="H904">
            <v>0.11735150189846841</v>
          </cell>
          <cell r="I904">
            <v>0.32304238171594635</v>
          </cell>
          <cell r="J904">
            <v>2.0069061696648065</v>
          </cell>
        </row>
        <row r="905">
          <cell r="A905" t="str">
            <v>ITOT-SWHSTG</v>
          </cell>
          <cell r="B905" t="str">
            <v>VAR_fin</v>
          </cell>
          <cell r="C905" t="str">
            <v>AUX_ITOT-STG_IN</v>
          </cell>
          <cell r="D905">
            <v>1.4829927106231066E-4</v>
          </cell>
          <cell r="E905">
            <v>5.9246411464044767E-3</v>
          </cell>
          <cell r="F905">
            <v>6.7923578514015925E-2</v>
          </cell>
          <cell r="G905">
            <v>3.6876084714990369E-2</v>
          </cell>
          <cell r="H905">
            <v>0.13053559589352437</v>
          </cell>
          <cell r="I905">
            <v>0.34735740933043507</v>
          </cell>
          <cell r="J905">
            <v>2.0271779662219802</v>
          </cell>
        </row>
        <row r="906">
          <cell r="A906" t="str">
            <v>ITOT-SWHSTG</v>
          </cell>
          <cell r="B906" t="str">
            <v>VAR_fin</v>
          </cell>
          <cell r="C906" t="str">
            <v>ITOT-SWH</v>
          </cell>
          <cell r="D906">
            <v>1.4829927106231066E-4</v>
          </cell>
          <cell r="E906">
            <v>5.9246411464044767E-3</v>
          </cell>
          <cell r="F906">
            <v>6.7923578514015925E-2</v>
          </cell>
          <cell r="G906">
            <v>3.6876084714990369E-2</v>
          </cell>
          <cell r="H906">
            <v>0.13053559589352437</v>
          </cell>
          <cell r="I906">
            <v>0.34735740933043507</v>
          </cell>
          <cell r="J906">
            <v>2.0271779662219802</v>
          </cell>
        </row>
        <row r="907">
          <cell r="A907" t="str">
            <v>ITOT-SWHSTG</v>
          </cell>
          <cell r="B907" t="str">
            <v>VAR_ncap</v>
          </cell>
          <cell r="C907" t="str">
            <v>-</v>
          </cell>
          <cell r="D907">
            <v>1.84799623810213E-2</v>
          </cell>
          <cell r="E907">
            <v>1.3553097492080999E-4</v>
          </cell>
          <cell r="F907">
            <v>1.50903264582423E-4</v>
          </cell>
          <cell r="G907">
            <v>1.01741911535731E-4</v>
          </cell>
          <cell r="H907">
            <v>3.13725019939071E-2</v>
          </cell>
          <cell r="I907">
            <v>3.5230220552974097E-2</v>
          </cell>
          <cell r="J907">
            <v>0.19016737970346001</v>
          </cell>
        </row>
        <row r="908">
          <cell r="A908" t="str">
            <v>ITOT-SWHSTG</v>
          </cell>
          <cell r="B908" t="str">
            <v>VAR_cap</v>
          </cell>
          <cell r="C908" t="str">
            <v>-</v>
          </cell>
          <cell r="D908">
            <v>1.84799623810213E-2</v>
          </cell>
          <cell r="E908">
            <v>1.8597021753481015E-2</v>
          </cell>
          <cell r="F908">
            <v>1.8721678421596225E-2</v>
          </cell>
          <cell r="G908">
            <v>1.8764804618206933E-2</v>
          </cell>
          <cell r="H908">
            <v>3.62914656228202E-2</v>
          </cell>
          <cell r="I908">
            <v>6.6606995494060961E-2</v>
          </cell>
          <cell r="J908">
            <v>0.22888853398068446</v>
          </cell>
        </row>
        <row r="909">
          <cell r="A909" t="str">
            <v>SCOM-SHLFOBR</v>
          </cell>
          <cell r="B909" t="str">
            <v>VAR_fout</v>
          </cell>
          <cell r="C909" t="str">
            <v>CO2_S</v>
          </cell>
          <cell r="D909">
            <v>2229.9172547481699</v>
          </cell>
          <cell r="E909">
            <v>1901.4017817936301</v>
          </cell>
          <cell r="F909">
            <v>1924.62038695047</v>
          </cell>
          <cell r="G909">
            <v>1141.5613924884201</v>
          </cell>
          <cell r="H909">
            <v>821.84657732135997</v>
          </cell>
          <cell r="I909">
            <v>400.54920633594401</v>
          </cell>
          <cell r="J909">
            <v>31.141466981068799</v>
          </cell>
        </row>
        <row r="910">
          <cell r="A910" t="str">
            <v>SCOM-SHLFOBR</v>
          </cell>
          <cell r="B910" t="str">
            <v>VAR_fout</v>
          </cell>
          <cell r="C910" t="str">
            <v>SCOM-SHLFO</v>
          </cell>
          <cell r="D910">
            <v>24.84310667054552</v>
          </cell>
          <cell r="E910">
            <v>21.225121811907183</v>
          </cell>
          <cell r="F910">
            <v>20.675718559819455</v>
          </cell>
          <cell r="G910">
            <v>12.681970222599137</v>
          </cell>
          <cell r="H910">
            <v>9.1301561963433819</v>
          </cell>
          <cell r="I910">
            <v>4.4498291032470156</v>
          </cell>
          <cell r="J910">
            <v>0.34596050597075112</v>
          </cell>
        </row>
        <row r="911">
          <cell r="A911" t="str">
            <v>SCOM-SHLFOBR</v>
          </cell>
          <cell r="B911" t="str">
            <v>VAR_fin</v>
          </cell>
          <cell r="C911" t="str">
            <v>SLFO</v>
          </cell>
          <cell r="D911">
            <v>30.256679168903222</v>
          </cell>
          <cell r="E911">
            <v>25.799210065042509</v>
          </cell>
          <cell r="F911">
            <v>26.114252197428314</v>
          </cell>
          <cell r="G911">
            <v>15.489299762393747</v>
          </cell>
          <cell r="H911">
            <v>11.151242568810867</v>
          </cell>
          <cell r="I911">
            <v>5.4348603302027643</v>
          </cell>
          <cell r="J911">
            <v>0.42254364967528873</v>
          </cell>
        </row>
        <row r="912">
          <cell r="A912" t="str">
            <v>SCOM-SHLFOBR</v>
          </cell>
          <cell r="B912" t="str">
            <v>VAR_ncap</v>
          </cell>
          <cell r="C912" t="str">
            <v>-</v>
          </cell>
          <cell r="D912">
            <v>4.4530037536301503E-5</v>
          </cell>
          <cell r="E912">
            <v>2.17210904719528E-5</v>
          </cell>
          <cell r="F912">
            <v>1.42338276648176E-5</v>
          </cell>
          <cell r="G912">
            <v>1.9722071206102001E-5</v>
          </cell>
          <cell r="H912">
            <v>0.34709341650102699</v>
          </cell>
          <cell r="I912">
            <v>7.1560417634599307E-5</v>
          </cell>
          <cell r="J912">
            <v>5.7489450386197802E-6</v>
          </cell>
        </row>
        <row r="913">
          <cell r="A913" t="str">
            <v>SCOM-SHLFOBR</v>
          </cell>
          <cell r="B913" t="str">
            <v>VAR_cap</v>
          </cell>
          <cell r="C913" t="str">
            <v>-</v>
          </cell>
          <cell r="D913">
            <v>1.9286181872626562</v>
          </cell>
          <cell r="E913">
            <v>1.7632298083626252</v>
          </cell>
          <cell r="F913">
            <v>1.739096190723606</v>
          </cell>
          <cell r="G913">
            <v>1.7364734098863761</v>
          </cell>
          <cell r="H913">
            <v>0.79741275366331599</v>
          </cell>
          <cell r="I913">
            <v>0.34716280022267326</v>
          </cell>
          <cell r="J913">
            <v>5.7531663360244192E-2</v>
          </cell>
        </row>
        <row r="914">
          <cell r="A914" t="str">
            <v>RHNM-SHPLTBR</v>
          </cell>
          <cell r="B914" t="str">
            <v>VAR_fout</v>
          </cell>
          <cell r="C914" t="str">
            <v>RHNM-SHPLT</v>
          </cell>
          <cell r="E914">
            <v>7.3585810215565303E-2</v>
          </cell>
          <cell r="F914">
            <v>7.8491820866934941E-3</v>
          </cell>
          <cell r="G914">
            <v>1.6523732629620948E-2</v>
          </cell>
          <cell r="H914">
            <v>1.9034162263765378E-2</v>
          </cell>
          <cell r="I914">
            <v>2.1658090418863383E-2</v>
          </cell>
          <cell r="J914">
            <v>2.6449920421258797E-2</v>
          </cell>
        </row>
        <row r="915">
          <cell r="A915" t="str">
            <v>RHNM-SHPLTBR</v>
          </cell>
          <cell r="B915" t="str">
            <v>VAR_fin</v>
          </cell>
          <cell r="C915" t="str">
            <v>RPLT</v>
          </cell>
          <cell r="E915">
            <v>8.1762011350628175E-2</v>
          </cell>
          <cell r="F915">
            <v>1.0577141811578565E-2</v>
          </cell>
          <cell r="G915">
            <v>2.1877445251010517E-2</v>
          </cell>
          <cell r="H915">
            <v>2.508632635194467E-2</v>
          </cell>
          <cell r="I915">
            <v>2.8314923341461476E-2</v>
          </cell>
          <cell r="J915">
            <v>3.4579570711525488E-2</v>
          </cell>
        </row>
        <row r="916">
          <cell r="A916" t="str">
            <v>RHNM-SHPLTBR</v>
          </cell>
          <cell r="B916" t="str">
            <v>VAR_fin</v>
          </cell>
          <cell r="C916" t="str">
            <v>RHNMPLTBRC</v>
          </cell>
          <cell r="E916">
            <v>7.3585810215565303E-2</v>
          </cell>
          <cell r="F916">
            <v>7.8491820866934941E-3</v>
          </cell>
          <cell r="G916">
            <v>1.6523732629620948E-2</v>
          </cell>
          <cell r="H916">
            <v>1.9034162263765378E-2</v>
          </cell>
          <cell r="I916">
            <v>2.1658090418863383E-2</v>
          </cell>
          <cell r="J916">
            <v>2.6449920421258797E-2</v>
          </cell>
        </row>
        <row r="917">
          <cell r="A917" t="str">
            <v>RHNM-SHPLTBR</v>
          </cell>
          <cell r="B917" t="str">
            <v>VAR_ncap</v>
          </cell>
          <cell r="C917" t="str">
            <v>-</v>
          </cell>
          <cell r="E917">
            <v>6.4162421923676504E-3</v>
          </cell>
          <cell r="F917">
            <v>8.8427436603091096E-5</v>
          </cell>
          <cell r="G917">
            <v>2.9110128528431201E-4</v>
          </cell>
          <cell r="H917">
            <v>1.8648376070553099E-4</v>
          </cell>
          <cell r="I917">
            <v>2.1952438507872899E-3</v>
          </cell>
          <cell r="J917">
            <v>9.3022881632073796E-4</v>
          </cell>
        </row>
        <row r="918">
          <cell r="A918" t="str">
            <v>RHNM-SHPLTBR</v>
          </cell>
          <cell r="B918" t="str">
            <v>VAR_cap</v>
          </cell>
          <cell r="C918" t="str">
            <v>-</v>
          </cell>
          <cell r="E918">
            <v>6.4162421923676504E-3</v>
          </cell>
          <cell r="F918">
            <v>6.4953894939356414E-3</v>
          </cell>
          <cell r="G918">
            <v>6.7665624532646839E-3</v>
          </cell>
          <cell r="H918">
            <v>3.8199792034794675E-3</v>
          </cell>
          <cell r="I918">
            <v>2.5840965797475192E-3</v>
          </cell>
          <cell r="J918">
            <v>2.5974731631594711E-3</v>
          </cell>
        </row>
        <row r="919">
          <cell r="A919" t="str">
            <v>D-RHES_NKEV_GAS_ELC_CHP</v>
          </cell>
          <cell r="B919" t="str">
            <v>VAR_fout</v>
          </cell>
          <cell r="C919" t="str">
            <v>RHES_ELC</v>
          </cell>
          <cell r="D919">
            <v>2.3759949980461426E-2</v>
          </cell>
          <cell r="E919">
            <v>5.4906705740114829E-3</v>
          </cell>
          <cell r="F919">
            <v>7.5682971625022121E-3</v>
          </cell>
        </row>
        <row r="920">
          <cell r="A920" t="str">
            <v>D-RHES_NKEV_GAS_ELC_CHP</v>
          </cell>
          <cell r="B920" t="str">
            <v>VAR_fout</v>
          </cell>
          <cell r="C920" t="str">
            <v>ELC5</v>
          </cell>
          <cell r="D920">
            <v>1.5895361152803697E-2</v>
          </cell>
          <cell r="E920">
            <v>3.6823387998899614E-3</v>
          </cell>
          <cell r="F920">
            <v>5.3524807419731944E-3</v>
          </cell>
        </row>
        <row r="921">
          <cell r="A921" t="str">
            <v>D-RHES_NKEV_GAS_ELC_CHP</v>
          </cell>
          <cell r="B921" t="str">
            <v>VAR_fin</v>
          </cell>
          <cell r="C921" t="str">
            <v>RHES_NKEV_GAS_ELC_CHP</v>
          </cell>
          <cell r="D921">
            <v>3.9655311133265141E-2</v>
          </cell>
          <cell r="E921">
            <v>9.1730093739014404E-3</v>
          </cell>
          <cell r="F921">
            <v>1.2781126079905466E-2</v>
          </cell>
        </row>
        <row r="922">
          <cell r="A922" t="str">
            <v>SCOM-SHSTG-SOL</v>
          </cell>
          <cell r="B922" t="str">
            <v>VAR_fout</v>
          </cell>
          <cell r="C922" t="str">
            <v>SCOM-SHASOL</v>
          </cell>
          <cell r="D922">
            <v>6.722707933787944E-4</v>
          </cell>
          <cell r="E922">
            <v>7.2219074596873898E-4</v>
          </cell>
          <cell r="F922">
            <v>4.7032726012596725E-4</v>
          </cell>
          <cell r="G922">
            <v>4.6847744511683566E-4</v>
          </cell>
          <cell r="H922">
            <v>3.9619040386267262E-4</v>
          </cell>
          <cell r="I922">
            <v>3.9984694243750692E-4</v>
          </cell>
          <cell r="J922">
            <v>3.1456072151446251E-4</v>
          </cell>
        </row>
        <row r="923">
          <cell r="A923" t="str">
            <v>SCOM-SHSTG-SOL</v>
          </cell>
          <cell r="B923" t="str">
            <v>VAR_fin</v>
          </cell>
          <cell r="C923" t="str">
            <v>SCOM-SHASOL</v>
          </cell>
          <cell r="D923">
            <v>6.7645309979169502E-4</v>
          </cell>
          <cell r="E923">
            <v>6.8400446920646913E-4</v>
          </cell>
          <cell r="F923">
            <v>3.5278418194949272E-4</v>
          </cell>
          <cell r="G923">
            <v>3.7860962474617501E-4</v>
          </cell>
          <cell r="H923">
            <v>3.1738224800121565E-4</v>
          </cell>
          <cell r="I923">
            <v>3.3759853972085291E-4</v>
          </cell>
          <cell r="J923">
            <v>1.8301604873487623E-4</v>
          </cell>
        </row>
        <row r="924">
          <cell r="A924" t="str">
            <v>SCOM-SHSTG-SOL</v>
          </cell>
          <cell r="B924" t="str">
            <v>VAR_ncap</v>
          </cell>
          <cell r="C924" t="str">
            <v>-</v>
          </cell>
          <cell r="D924">
            <v>2.3621917510509599E-2</v>
          </cell>
          <cell r="E924">
            <v>7.0947482002359897E-5</v>
          </cell>
          <cell r="F924">
            <v>1.5307732968118001E-5</v>
          </cell>
          <cell r="G924">
            <v>2.4924974330326801E-5</v>
          </cell>
          <cell r="H924">
            <v>1.6853805643075901E-2</v>
          </cell>
          <cell r="I924">
            <v>1.0131276172047199E-2</v>
          </cell>
          <cell r="J924">
            <v>1.53087661543524E-2</v>
          </cell>
        </row>
        <row r="925">
          <cell r="A925" t="str">
            <v>SCOM-SHSTG-SOL</v>
          </cell>
          <cell r="B925" t="str">
            <v>VAR_cap</v>
          </cell>
          <cell r="C925" t="str">
            <v>-</v>
          </cell>
          <cell r="D925">
            <v>2.3621917510509599E-2</v>
          </cell>
          <cell r="E925">
            <v>2.36928649925119E-2</v>
          </cell>
          <cell r="F925">
            <v>2.3708172725480099E-2</v>
          </cell>
          <cell r="G925">
            <v>2.3733097699810399E-2</v>
          </cell>
          <cell r="H925">
            <v>2.3056366384714099E-2</v>
          </cell>
          <cell r="I925">
            <v>2.7004816566463301E-2</v>
          </cell>
          <cell r="J925">
            <v>2.97904425538526E-2</v>
          </cell>
        </row>
        <row r="926">
          <cell r="A926" t="str">
            <v>RHNM-SHELCBRA</v>
          </cell>
          <cell r="B926" t="str">
            <v>VAR_fout</v>
          </cell>
          <cell r="C926" t="str">
            <v>RHNM-SHELCB</v>
          </cell>
          <cell r="E926">
            <v>0.15451446496164178</v>
          </cell>
          <cell r="F926">
            <v>8.7029925869366582E-4</v>
          </cell>
          <cell r="G926">
            <v>1.7260051160793795E-3</v>
          </cell>
          <cell r="H926">
            <v>1.8233377174018384E-3</v>
          </cell>
          <cell r="I926">
            <v>2.0482033083168943E-3</v>
          </cell>
          <cell r="J926">
            <v>1.9719841594092618E-3</v>
          </cell>
        </row>
        <row r="927">
          <cell r="A927" t="str">
            <v>RHNM-SHELCBRA</v>
          </cell>
          <cell r="B927" t="str">
            <v>VAR_fin</v>
          </cell>
          <cell r="C927" t="str">
            <v>RHNM-SHAELCB</v>
          </cell>
          <cell r="E927">
            <v>0.15451446496164178</v>
          </cell>
          <cell r="F927">
            <v>8.7029925869366582E-4</v>
          </cell>
          <cell r="G927">
            <v>1.7260051160793795E-3</v>
          </cell>
          <cell r="H927">
            <v>1.8233377174018384E-3</v>
          </cell>
          <cell r="I927">
            <v>2.0482033083168943E-3</v>
          </cell>
          <cell r="J927">
            <v>1.9719841594092618E-3</v>
          </cell>
        </row>
        <row r="928">
          <cell r="A928" t="str">
            <v>RHNM-SHELCBRA</v>
          </cell>
          <cell r="B928" t="str">
            <v>VAR_ncap</v>
          </cell>
          <cell r="C928" t="str">
            <v>-</v>
          </cell>
          <cell r="E928">
            <v>1.8020079448868701E-2</v>
          </cell>
          <cell r="H928">
            <v>1.4310978155125701E-2</v>
          </cell>
        </row>
        <row r="929">
          <cell r="A929" t="str">
            <v>RHNM-SHELCBRA</v>
          </cell>
          <cell r="B929" t="str">
            <v>VAR_cap</v>
          </cell>
          <cell r="C929" t="str">
            <v>-</v>
          </cell>
          <cell r="E929">
            <v>1.8020079448868701E-2</v>
          </cell>
          <cell r="F929">
            <v>1.799866574835219E-2</v>
          </cell>
          <cell r="G929">
            <v>1.794436168036246E-2</v>
          </cell>
          <cell r="H929">
            <v>2.238576187014343E-2</v>
          </cell>
          <cell r="I929">
            <v>1.327835598390205E-2</v>
          </cell>
          <cell r="J929">
            <v>5.6038208829917646E-3</v>
          </cell>
        </row>
        <row r="930">
          <cell r="A930" t="str">
            <v>RHNM-SHSTG-SOL</v>
          </cell>
          <cell r="B930" t="str">
            <v>VAR_fout</v>
          </cell>
          <cell r="C930" t="str">
            <v>AUX_RHNM-SHSTG-SOL_OUT</v>
          </cell>
          <cell r="E930">
            <v>2.029063247733393E-3</v>
          </cell>
          <cell r="F930">
            <v>2.8152867047916163E-4</v>
          </cell>
          <cell r="G930">
            <v>1.5727294432864254E-4</v>
          </cell>
          <cell r="H930">
            <v>1.8224081461511903E-4</v>
          </cell>
          <cell r="I930">
            <v>7.6723323154054545E-5</v>
          </cell>
          <cell r="J930">
            <v>8.480686199521719E-5</v>
          </cell>
        </row>
        <row r="931">
          <cell r="A931" t="str">
            <v>RHNM-SHSTG-SOL</v>
          </cell>
          <cell r="B931" t="str">
            <v>VAR_fout</v>
          </cell>
          <cell r="C931" t="str">
            <v>RHNM-SHASOL</v>
          </cell>
          <cell r="E931">
            <v>2.0270362115218702E-3</v>
          </cell>
          <cell r="F931">
            <v>2.8124742305610532E-4</v>
          </cell>
          <cell r="G931">
            <v>1.5711582850014237E-4</v>
          </cell>
          <cell r="H931">
            <v>1.8205875585925984E-4</v>
          </cell>
          <cell r="I931">
            <v>7.6646676477576956E-5</v>
          </cell>
          <cell r="J931">
            <v>8.4722139855361876E-5</v>
          </cell>
        </row>
        <row r="932">
          <cell r="A932" t="str">
            <v>RHNM-SHSTG-SOL</v>
          </cell>
          <cell r="B932" t="str">
            <v>VAR_fin</v>
          </cell>
          <cell r="C932" t="str">
            <v>RHNM-SHASOL</v>
          </cell>
          <cell r="E932">
            <v>1.4931556926331133E-3</v>
          </cell>
          <cell r="F932">
            <v>5.7130345559283618E-5</v>
          </cell>
          <cell r="G932">
            <v>6.755369196692824E-6</v>
          </cell>
          <cell r="I932">
            <v>1.991829435571961E-6</v>
          </cell>
          <cell r="J932">
            <v>3.8562302564255749E-5</v>
          </cell>
        </row>
        <row r="933">
          <cell r="A933" t="str">
            <v>RHNM-SHSTG-SOL</v>
          </cell>
          <cell r="B933" t="str">
            <v>VAR_ncap</v>
          </cell>
          <cell r="C933" t="str">
            <v>-</v>
          </cell>
          <cell r="D933">
            <v>3.82304880364443E-4</v>
          </cell>
          <cell r="E933">
            <v>2.3731577742881001E-4</v>
          </cell>
          <cell r="F933">
            <v>5.76730633805024E-4</v>
          </cell>
          <cell r="G933">
            <v>5.0761005884084997E-4</v>
          </cell>
          <cell r="H933">
            <v>9.3091492342193497E-5</v>
          </cell>
          <cell r="I933">
            <v>2.9875182560542299E-4</v>
          </cell>
          <cell r="J933">
            <v>3.1293387611839901E-4</v>
          </cell>
        </row>
        <row r="934">
          <cell r="A934" t="str">
            <v>RHNM-SHSTG-SOL</v>
          </cell>
          <cell r="B934" t="str">
            <v>VAR_cap</v>
          </cell>
          <cell r="C934" t="str">
            <v>-</v>
          </cell>
          <cell r="D934">
            <v>3.82304880364443E-4</v>
          </cell>
          <cell r="E934">
            <v>6.1962065779325301E-4</v>
          </cell>
          <cell r="F934">
            <v>1.19635129159828E-3</v>
          </cell>
          <cell r="G934">
            <v>1.7039613504391299E-3</v>
          </cell>
          <cell r="H934">
            <v>1.3981643028293401E-3</v>
          </cell>
          <cell r="I934">
            <v>8.4068567784259898E-4</v>
          </cell>
          <cell r="J934">
            <v>5.6912529462565403E-4</v>
          </cell>
        </row>
        <row r="935">
          <cell r="A935" t="str">
            <v>RHNS-SHELCHP</v>
          </cell>
          <cell r="B935" t="str">
            <v>VAR_fout</v>
          </cell>
          <cell r="C935" t="str">
            <v>RHNS-SHAELCH</v>
          </cell>
          <cell r="E935">
            <v>0.15145341341149907</v>
          </cell>
          <cell r="F935">
            <v>1.0974309432844349</v>
          </cell>
          <cell r="G935">
            <v>1.708005803127822</v>
          </cell>
          <cell r="H935">
            <v>2.216797975596863</v>
          </cell>
          <cell r="I935">
            <v>2.631601942079679</v>
          </cell>
          <cell r="J935">
            <v>3.2507181976316599</v>
          </cell>
        </row>
        <row r="936">
          <cell r="A936" t="str">
            <v>RHNS-SHELCHP</v>
          </cell>
          <cell r="B936" t="str">
            <v>VAR_fin</v>
          </cell>
          <cell r="C936" t="str">
            <v>RHNS_ELC</v>
          </cell>
          <cell r="E936">
            <v>4.655330330271492E-2</v>
          </cell>
          <cell r="F936">
            <v>0.32457299734394485</v>
          </cell>
          <cell r="G936">
            <v>0.47916889397149476</v>
          </cell>
          <cell r="H936">
            <v>0.59682921658971799</v>
          </cell>
          <cell r="I936">
            <v>0.6849113563632776</v>
          </cell>
          <cell r="J936">
            <v>0.77778805691266328</v>
          </cell>
        </row>
        <row r="937">
          <cell r="A937" t="str">
            <v>RHNS-SHELCHP</v>
          </cell>
          <cell r="B937" t="str">
            <v>VAR_fin</v>
          </cell>
          <cell r="C937" t="str">
            <v>RHNSELCHPC</v>
          </cell>
          <cell r="E937">
            <v>0.15145341341149907</v>
          </cell>
          <cell r="F937">
            <v>1.0974309432844349</v>
          </cell>
          <cell r="G937">
            <v>1.708005803127822</v>
          </cell>
          <cell r="H937">
            <v>2.216797975596863</v>
          </cell>
          <cell r="I937">
            <v>2.631601942079679</v>
          </cell>
          <cell r="J937">
            <v>3.2507181976316599</v>
          </cell>
        </row>
        <row r="938">
          <cell r="A938" t="str">
            <v>RHNS-SHELCHP</v>
          </cell>
          <cell r="B938" t="str">
            <v>VAR_ncap</v>
          </cell>
          <cell r="C938" t="str">
            <v>-</v>
          </cell>
          <cell r="E938">
            <v>1.1804653425239E-2</v>
          </cell>
          <cell r="F938">
            <v>6.9684955877527904E-2</v>
          </cell>
          <cell r="G938">
            <v>4.56985758801427E-2</v>
          </cell>
          <cell r="H938">
            <v>4.18282430151906E-2</v>
          </cell>
          <cell r="I938">
            <v>0.107818765599813</v>
          </cell>
          <cell r="J938">
            <v>0.14135069514349899</v>
          </cell>
        </row>
        <row r="939">
          <cell r="A939" t="str">
            <v>RHNS-SHELCHP</v>
          </cell>
          <cell r="B939" t="str">
            <v>VAR_cap</v>
          </cell>
          <cell r="C939" t="str">
            <v>-</v>
          </cell>
          <cell r="E939">
            <v>1.1804653425239E-2</v>
          </cell>
          <cell r="F939">
            <v>8.1486775624648108E-2</v>
          </cell>
          <cell r="G939">
            <v>0.12717679027301376</v>
          </cell>
          <cell r="H939">
            <v>0.16324516044643039</v>
          </cell>
          <cell r="I939">
            <v>0.19319365757412282</v>
          </cell>
          <cell r="J939">
            <v>0.23728847887123997</v>
          </cell>
        </row>
        <row r="940">
          <cell r="A940" t="str">
            <v>SCOM-SHBIOBR</v>
          </cell>
          <cell r="B940" t="str">
            <v>VAR_fout</v>
          </cell>
          <cell r="C940" t="str">
            <v>SCOM-SHBIO</v>
          </cell>
          <cell r="D940">
            <v>1.2231576316855999</v>
          </cell>
          <cell r="E940">
            <v>1.3408440109024429</v>
          </cell>
        </row>
        <row r="941">
          <cell r="A941" t="str">
            <v>SCOM-SHBIOBR</v>
          </cell>
          <cell r="B941" t="str">
            <v>VAR_fin</v>
          </cell>
          <cell r="C941" t="str">
            <v>SBIO</v>
          </cell>
          <cell r="D941">
            <v>1.402382058800276</v>
          </cell>
          <cell r="E941">
            <v>1.5373125554946594</v>
          </cell>
        </row>
        <row r="942">
          <cell r="A942" t="str">
            <v>SCOM-SHBIOBR</v>
          </cell>
          <cell r="B942" t="str">
            <v>VAR_ncap</v>
          </cell>
          <cell r="C942" t="str">
            <v>-</v>
          </cell>
          <cell r="D942">
            <v>1.6782718268349901E-5</v>
          </cell>
          <cell r="E942">
            <v>2.8483782863931501E-4</v>
          </cell>
          <cell r="F942">
            <v>1.3232688374630299E-5</v>
          </cell>
          <cell r="G942">
            <v>2.1011286694650001E-5</v>
          </cell>
          <cell r="H942">
            <v>1.0579736416093299E-3</v>
          </cell>
          <cell r="I942">
            <v>2.05764069597386E-3</v>
          </cell>
          <cell r="J942">
            <v>6.8718873319984397E-4</v>
          </cell>
        </row>
        <row r="943">
          <cell r="A943" t="str">
            <v>SCOM-SHBIOBR</v>
          </cell>
          <cell r="B943" t="str">
            <v>VAR_cap</v>
          </cell>
          <cell r="C943" t="str">
            <v>-</v>
          </cell>
          <cell r="D943">
            <v>0.10535770818694436</v>
          </cell>
          <cell r="E943">
            <v>0.10563169814739681</v>
          </cell>
          <cell r="F943">
            <v>0.10493480091104547</v>
          </cell>
          <cell r="G943">
            <v>0.10472441661210848</v>
          </cell>
          <cell r="H943">
            <v>2.8226888204201064E-2</v>
          </cell>
          <cell r="I943">
            <v>3.0916485339507888E-3</v>
          </cell>
          <cell r="J943">
            <v>2.6040217745173272E-3</v>
          </cell>
        </row>
        <row r="944">
          <cell r="A944" t="str">
            <v>RHES-SHDEM</v>
          </cell>
          <cell r="B944" t="str">
            <v>VAR_fout</v>
          </cell>
          <cell r="C944" t="str">
            <v>RHES-SHD</v>
          </cell>
          <cell r="D944">
            <v>62.024837503894084</v>
          </cell>
          <cell r="E944">
            <v>67.815394581973521</v>
          </cell>
          <cell r="F944">
            <v>56.576361530436877</v>
          </cell>
          <cell r="G944">
            <v>54.672253708648633</v>
          </cell>
          <cell r="H944">
            <v>53.412532282813032</v>
          </cell>
          <cell r="I944">
            <v>52.40788546477102</v>
          </cell>
          <cell r="J944">
            <v>51.191661711690465</v>
          </cell>
        </row>
        <row r="945">
          <cell r="A945" t="str">
            <v>RHES-SHDEM</v>
          </cell>
          <cell r="B945" t="str">
            <v>VAR_fin</v>
          </cell>
          <cell r="C945" t="str">
            <v>RHES-SHPLT</v>
          </cell>
          <cell r="D945">
            <v>1.2887785601475841</v>
          </cell>
          <cell r="E945">
            <v>1.4860508337317331</v>
          </cell>
          <cell r="F945">
            <v>3.147276531194567E-2</v>
          </cell>
          <cell r="G945">
            <v>4.0057113542296179E-2</v>
          </cell>
          <cell r="H945">
            <v>4.4285040989722017E-2</v>
          </cell>
          <cell r="I945">
            <v>4.9825337491596892E-2</v>
          </cell>
          <cell r="J945">
            <v>4.475984906270157E-2</v>
          </cell>
        </row>
        <row r="946">
          <cell r="A946" t="str">
            <v>RHES-SHDEM</v>
          </cell>
          <cell r="B946" t="str">
            <v>VAR_fin</v>
          </cell>
          <cell r="C946" t="str">
            <v>RHES-SHLTHC-NGA</v>
          </cell>
          <cell r="D946">
            <v>4.8773733379440139E-2</v>
          </cell>
          <cell r="E946">
            <v>2.065269009124808E-2</v>
          </cell>
          <cell r="F946">
            <v>2.1804215509326921E-6</v>
          </cell>
          <cell r="G946">
            <v>5.9758700988756285E-5</v>
          </cell>
          <cell r="H946">
            <v>1.615333307551575E-6</v>
          </cell>
          <cell r="J946">
            <v>3.8903374459688243E-5</v>
          </cell>
        </row>
        <row r="947">
          <cell r="A947" t="str">
            <v>RHES-SHDEM</v>
          </cell>
          <cell r="B947" t="str">
            <v>VAR_fin</v>
          </cell>
          <cell r="C947" t="str">
            <v>RHES-SHSOL</v>
          </cell>
          <cell r="D947">
            <v>0.373355184120154</v>
          </cell>
          <cell r="E947">
            <v>0.43488422581921832</v>
          </cell>
          <cell r="F947">
            <v>2.1999683743722236E-2</v>
          </cell>
          <cell r="G947">
            <v>2.3233072847839053E-2</v>
          </cell>
          <cell r="H947">
            <v>2.2866344280858569E-2</v>
          </cell>
          <cell r="I947">
            <v>2.2162640269491201E-2</v>
          </cell>
          <cell r="J947">
            <v>2.0010138849730342E-2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RHES-SHLTHC-WOD</v>
          </cell>
          <cell r="D948">
            <v>2.2575492552246589E-3</v>
          </cell>
          <cell r="E948">
            <v>4.9565023672727942E-4</v>
          </cell>
          <cell r="F948">
            <v>4.926077247785499E-5</v>
          </cell>
          <cell r="G948">
            <v>5.6644190937219838E-6</v>
          </cell>
          <cell r="H948">
            <v>1.5857003509838651E-5</v>
          </cell>
          <cell r="I948">
            <v>1.1811681600314614E-5</v>
          </cell>
          <cell r="J948">
            <v>1.8347260260845118E-5</v>
          </cell>
        </row>
        <row r="949">
          <cell r="A949" t="str">
            <v>RHES-SHDEM</v>
          </cell>
          <cell r="B949" t="str">
            <v>VAR_fin</v>
          </cell>
          <cell r="C949" t="str">
            <v>RHES-SHNGA</v>
          </cell>
          <cell r="D949">
            <v>17.556030053303793</v>
          </cell>
          <cell r="E949">
            <v>19.458599391871058</v>
          </cell>
          <cell r="F949">
            <v>10.463861159152954</v>
          </cell>
          <cell r="G949">
            <v>7.3661866308375075</v>
          </cell>
          <cell r="H949">
            <v>4.8593958851310441</v>
          </cell>
          <cell r="I949">
            <v>2.3053587122696695</v>
          </cell>
          <cell r="J949">
            <v>0.94702357164115081</v>
          </cell>
        </row>
        <row r="950">
          <cell r="A950" t="str">
            <v>RHES-SHDEM</v>
          </cell>
          <cell r="B950" t="str">
            <v>VAR_fin</v>
          </cell>
          <cell r="C950" t="str">
            <v>RHES-SHNGAH</v>
          </cell>
          <cell r="D950">
            <v>1.6898716208873764E-3</v>
          </cell>
          <cell r="E950">
            <v>4.7766955623156071E-4</v>
          </cell>
          <cell r="F950">
            <v>2.2602262678704408</v>
          </cell>
          <cell r="G950">
            <v>5.4978173570883246</v>
          </cell>
          <cell r="H950">
            <v>6.5771656645432408</v>
          </cell>
          <cell r="I950">
            <v>7.6659073893332588</v>
          </cell>
          <cell r="J950">
            <v>7.0921283017340544</v>
          </cell>
        </row>
        <row r="951">
          <cell r="A951" t="str">
            <v>RHES-SHDEM</v>
          </cell>
          <cell r="B951" t="str">
            <v>VAR_fin</v>
          </cell>
          <cell r="C951" t="str">
            <v>RHES-SHCOA</v>
          </cell>
          <cell r="D951">
            <v>7.9298018950777843E-2</v>
          </cell>
          <cell r="E951">
            <v>7.215304150867996E-2</v>
          </cell>
          <cell r="F951">
            <v>2.1754990123534716E-2</v>
          </cell>
          <cell r="G951">
            <v>3.9247945532721148E-4</v>
          </cell>
          <cell r="H951">
            <v>6.3744192458661046E-5</v>
          </cell>
          <cell r="J951">
            <v>1.6326866375591924E-5</v>
          </cell>
        </row>
        <row r="952">
          <cell r="A952" t="str">
            <v>RHES-SHDEM</v>
          </cell>
          <cell r="B952" t="str">
            <v>VAR_fin</v>
          </cell>
          <cell r="C952" t="str">
            <v>RHES-SHLFO</v>
          </cell>
          <cell r="D952">
            <v>21.663032193435996</v>
          </cell>
          <cell r="E952">
            <v>19.945107349591421</v>
          </cell>
          <cell r="F952">
            <v>14.273200979183786</v>
          </cell>
          <cell r="G952">
            <v>6.9400939182515966</v>
          </cell>
          <cell r="H952">
            <v>4.1055815459314919</v>
          </cell>
          <cell r="I952">
            <v>1.3453028760339594</v>
          </cell>
          <cell r="J952">
            <v>0.13306286914839463</v>
          </cell>
        </row>
        <row r="953">
          <cell r="A953" t="str">
            <v>RHES-SHDEM</v>
          </cell>
          <cell r="B953" t="str">
            <v>VAR_fin</v>
          </cell>
          <cell r="C953" t="str">
            <v>RHES-SHCON</v>
          </cell>
          <cell r="D953">
            <v>0.18029593259256818</v>
          </cell>
          <cell r="E953">
            <v>3.1066429120945207</v>
          </cell>
          <cell r="F953">
            <v>2.2637082981321979</v>
          </cell>
          <cell r="G953">
            <v>4.6077106534293302</v>
          </cell>
          <cell r="H953">
            <v>6.7905663518498587</v>
          </cell>
          <cell r="I953">
            <v>8.8186785945937665</v>
          </cell>
          <cell r="J953">
            <v>13.180520387533457</v>
          </cell>
        </row>
        <row r="954">
          <cell r="A954" t="str">
            <v>RHES-SHDEM</v>
          </cell>
          <cell r="B954" t="str">
            <v>VAR_fin</v>
          </cell>
          <cell r="C954" t="str">
            <v>RHES-SHWOD</v>
          </cell>
          <cell r="D954">
            <v>4.375504566646037</v>
          </cell>
          <cell r="E954">
            <v>5.0333344867412899</v>
          </cell>
          <cell r="F954">
            <v>5.2095425967991105</v>
          </cell>
          <cell r="G954">
            <v>4.3637712078367645</v>
          </cell>
          <cell r="H954">
            <v>3.4806716887902436</v>
          </cell>
          <cell r="I954">
            <v>2.7003040210696629</v>
          </cell>
          <cell r="J954">
            <v>1.4271648399668899</v>
          </cell>
        </row>
        <row r="955">
          <cell r="A955" t="str">
            <v>RHES-SHDEM</v>
          </cell>
          <cell r="B955" t="str">
            <v>VAR_fin</v>
          </cell>
          <cell r="C955" t="str">
            <v>RHES-SHLTHD</v>
          </cell>
          <cell r="D955">
            <v>3.0420298529435068</v>
          </cell>
          <cell r="E955">
            <v>3.502825556201691</v>
          </cell>
          <cell r="F955">
            <v>1.4313410425807944</v>
          </cell>
          <cell r="G955">
            <v>1.9305971216545259</v>
          </cell>
          <cell r="H955">
            <v>2.0767267556030338</v>
          </cell>
          <cell r="I955">
            <v>2.2429827214177971</v>
          </cell>
          <cell r="J955">
            <v>2.1429187122561215</v>
          </cell>
        </row>
        <row r="956">
          <cell r="A956" t="str">
            <v>RHES-SHDEM</v>
          </cell>
          <cell r="B956" t="str">
            <v>VAR_fin</v>
          </cell>
          <cell r="C956" t="str">
            <v>RHES-SHELCB</v>
          </cell>
          <cell r="D956">
            <v>4.2684632516813128</v>
          </cell>
          <cell r="E956">
            <v>4.4873668812755572</v>
          </cell>
          <cell r="F956">
            <v>0.7867466877715189</v>
          </cell>
          <cell r="G956">
            <v>0.18613367828858052</v>
          </cell>
          <cell r="H956">
            <v>1.3761404573380613E-2</v>
          </cell>
          <cell r="I956">
            <v>3.5991343728371283E-3</v>
          </cell>
          <cell r="J956">
            <v>2.1152903682714161E-3</v>
          </cell>
        </row>
        <row r="957">
          <cell r="A957" t="str">
            <v>RHES-SHDEM</v>
          </cell>
          <cell r="B957" t="str">
            <v>VAR_fin</v>
          </cell>
          <cell r="C957" t="str">
            <v>RHES-SHELCH</v>
          </cell>
          <cell r="D957">
            <v>9.1444372718206797</v>
          </cell>
          <cell r="E957">
            <v>10.274903229318932</v>
          </cell>
          <cell r="F957">
            <v>19.821543983729867</v>
          </cell>
          <cell r="G957">
            <v>23.722638313730609</v>
          </cell>
          <cell r="H957">
            <v>25.449139863365964</v>
          </cell>
          <cell r="I957">
            <v>27.260023070967794</v>
          </cell>
          <cell r="J957">
            <v>26.20699826291392</v>
          </cell>
        </row>
        <row r="958">
          <cell r="A958" t="str">
            <v>RHES-SHDEM</v>
          </cell>
          <cell r="B958" t="str">
            <v>VAR_fin</v>
          </cell>
          <cell r="C958" t="str">
            <v>RHES-SHNST</v>
          </cell>
          <cell r="D958">
            <v>6.760177852537329E-3</v>
          </cell>
          <cell r="E958">
            <v>5.6371811841073852E-4</v>
          </cell>
          <cell r="F958">
            <v>3.3099608998574581E-5</v>
          </cell>
          <cell r="G958">
            <v>3.8605494388183618E-5</v>
          </cell>
          <cell r="H958">
            <v>7.1225950841371005E-6</v>
          </cell>
          <cell r="I958">
            <v>6.497520776426332E-5</v>
          </cell>
          <cell r="J958">
            <v>7.7951322589263492E-6</v>
          </cell>
        </row>
        <row r="959">
          <cell r="A959" t="str">
            <v>D-RHEM_LTH_CHPNGA</v>
          </cell>
          <cell r="B959" t="str">
            <v>VAR_fout</v>
          </cell>
          <cell r="C959" t="str">
            <v>RHSA_LTH</v>
          </cell>
          <cell r="D959">
            <v>7.003137150738587E-3</v>
          </cell>
          <cell r="E959">
            <v>2.0057228323624134E-4</v>
          </cell>
          <cell r="F959">
            <v>2.4124811675099143E-2</v>
          </cell>
          <cell r="G959">
            <v>3.1470221894465406E-4</v>
          </cell>
          <cell r="H959">
            <v>1.6704763185280516E-4</v>
          </cell>
          <cell r="I959">
            <v>3.6018278746530983E-4</v>
          </cell>
          <cell r="J959">
            <v>2.937711120210029E-4</v>
          </cell>
        </row>
        <row r="960">
          <cell r="A960" t="str">
            <v>D-RHEM_LTH_CHPNGA</v>
          </cell>
          <cell r="B960" t="str">
            <v>VAR_fout</v>
          </cell>
          <cell r="C960" t="str">
            <v>RHEM_LTH_CHPNGA_ON</v>
          </cell>
          <cell r="D960">
            <v>6.589795149137527E-2</v>
          </cell>
          <cell r="E960">
            <v>2.3620234080541945E-2</v>
          </cell>
          <cell r="F960">
            <v>1.999894059116716E-2</v>
          </cell>
          <cell r="G960">
            <v>1.1547379233059459E-4</v>
          </cell>
          <cell r="H960">
            <v>2.1236200541927582E-4</v>
          </cell>
          <cell r="I960">
            <v>8.4181842392626086E-5</v>
          </cell>
          <cell r="J960">
            <v>4.3382019983541174E-5</v>
          </cell>
        </row>
        <row r="961">
          <cell r="A961" t="str">
            <v>D-RHEM_LTH_CHPNGA</v>
          </cell>
          <cell r="B961" t="str">
            <v>VAR_fout</v>
          </cell>
          <cell r="C961" t="str">
            <v>LTH</v>
          </cell>
          <cell r="E961">
            <v>4.6333552515364327E-6</v>
          </cell>
          <cell r="F961">
            <v>1.544456920981622E-5</v>
          </cell>
          <cell r="G961">
            <v>2.0960808638003559E-5</v>
          </cell>
          <cell r="H961">
            <v>3.4685907684648239E-5</v>
          </cell>
          <cell r="I961">
            <v>1.0667963292831433E-4</v>
          </cell>
          <cell r="J961">
            <v>1.2376978520709918E-4</v>
          </cell>
        </row>
        <row r="962">
          <cell r="A962" t="str">
            <v>D-RHEM_LTH_CHPNGA</v>
          </cell>
          <cell r="B962" t="str">
            <v>VAR_fin</v>
          </cell>
          <cell r="C962" t="str">
            <v>RHEM_LTH_CHPNGA</v>
          </cell>
          <cell r="D962">
            <v>7.2901088642113906E-2</v>
          </cell>
          <cell r="E962">
            <v>2.3825917519812743E-2</v>
          </cell>
          <cell r="F962">
            <v>4.4139196835476138E-2</v>
          </cell>
          <cell r="G962">
            <v>4.5113681991325208E-4</v>
          </cell>
          <cell r="H962">
            <v>4.1409554495672939E-4</v>
          </cell>
          <cell r="I962">
            <v>5.5104426278624989E-4</v>
          </cell>
          <cell r="J962">
            <v>4.609229172116435E-4</v>
          </cell>
        </row>
        <row r="963">
          <cell r="A963" t="str">
            <v>RHEM-SHLTHCHPNGA</v>
          </cell>
          <cell r="B963" t="str">
            <v>VAR_fout</v>
          </cell>
          <cell r="C963" t="str">
            <v>RHEM-SHLTHC-NGA</v>
          </cell>
          <cell r="D963">
            <v>5.0272206623977939E-2</v>
          </cell>
          <cell r="E963">
            <v>2.2721721122700426E-2</v>
          </cell>
        </row>
        <row r="964">
          <cell r="A964" t="str">
            <v>RHEM-SHLTHCHPNGA</v>
          </cell>
          <cell r="B964" t="str">
            <v>VAR_fin</v>
          </cell>
          <cell r="C964" t="str">
            <v>RHEM_LTH_CHPNGA_ON</v>
          </cell>
          <cell r="D964">
            <v>5.0780006690886746E-2</v>
          </cell>
          <cell r="E964">
            <v>2.2951233457273137E-2</v>
          </cell>
        </row>
        <row r="965">
          <cell r="A965" t="str">
            <v>RHEM-SHLTHCHPNGA</v>
          </cell>
          <cell r="B965" t="str">
            <v>VAR_fin</v>
          </cell>
          <cell r="C965" t="str">
            <v>RHEMLTHCHPC</v>
          </cell>
          <cell r="D965">
            <v>5.0272206623977939E-2</v>
          </cell>
          <cell r="E965">
            <v>2.2721721122700426E-2</v>
          </cell>
        </row>
        <row r="966">
          <cell r="A966" t="str">
            <v>RHEM-SHLTHCHPNGA</v>
          </cell>
          <cell r="B966" t="str">
            <v>VAR_ncap</v>
          </cell>
          <cell r="C966" t="str">
            <v>-</v>
          </cell>
          <cell r="D966">
            <v>1.25794447583526E-5</v>
          </cell>
          <cell r="E966">
            <v>1.5637043644400801E-3</v>
          </cell>
          <cell r="F966">
            <v>4.1364232438864E-3</v>
          </cell>
          <cell r="G966">
            <v>1.6821172682781999E-3</v>
          </cell>
          <cell r="H966">
            <v>1.8974483883877999E-3</v>
          </cell>
          <cell r="I966">
            <v>4.7270318716892401E-4</v>
          </cell>
          <cell r="J966">
            <v>3.1664346291530499E-7</v>
          </cell>
        </row>
        <row r="967">
          <cell r="A967" t="str">
            <v>RHEM-SHLTHCHPNGA</v>
          </cell>
          <cell r="B967" t="str">
            <v>VAR_cap</v>
          </cell>
          <cell r="C967" t="str">
            <v>-</v>
          </cell>
          <cell r="D967">
            <v>6.8107804433070827E-3</v>
          </cell>
          <cell r="E967">
            <v>2.6698066663869589E-3</v>
          </cell>
          <cell r="F967">
            <v>5.7597156942391795E-3</v>
          </cell>
          <cell r="G967">
            <v>3.6589097560204686E-3</v>
          </cell>
          <cell r="H967">
            <v>3.3826033571003602E-3</v>
          </cell>
          <cell r="I967">
            <v>1.0694934764109102E-3</v>
          </cell>
        </row>
        <row r="968">
          <cell r="A968" t="str">
            <v>D-RHES_SOLELC</v>
          </cell>
          <cell r="B968" t="str">
            <v>VAR_fout</v>
          </cell>
          <cell r="C968" t="str">
            <v>RHES_ELC</v>
          </cell>
          <cell r="D968">
            <v>2.0985072501498325</v>
          </cell>
          <cell r="E968">
            <v>3.3749633275664888</v>
          </cell>
          <cell r="F968">
            <v>4.0188582529897205</v>
          </cell>
          <cell r="G968">
            <v>4.3297329857710523</v>
          </cell>
          <cell r="H968">
            <v>4.5947142280893676</v>
          </cell>
          <cell r="I968">
            <v>4.8140539756231542</v>
          </cell>
          <cell r="J968">
            <v>5.3393574940074977</v>
          </cell>
        </row>
        <row r="969">
          <cell r="A969" t="str">
            <v>D-RHES_SOLELC</v>
          </cell>
          <cell r="B969" t="str">
            <v>VAR_fout</v>
          </cell>
          <cell r="C969" t="str">
            <v>ELC5</v>
          </cell>
          <cell r="D969">
            <v>3.6431838584829283E-2</v>
          </cell>
          <cell r="E969">
            <v>1.5758584551360033E-2</v>
          </cell>
          <cell r="F969">
            <v>1.7196825781397522E-2</v>
          </cell>
          <cell r="G969">
            <v>9.6503139748492055E-3</v>
          </cell>
          <cell r="H969">
            <v>1.8854500840277191E-2</v>
          </cell>
          <cell r="I969">
            <v>5.7136661339780216E-2</v>
          </cell>
          <cell r="J969">
            <v>6.4628389224425362E-2</v>
          </cell>
        </row>
        <row r="970">
          <cell r="A970" t="str">
            <v>D-RHES_SOLELC</v>
          </cell>
          <cell r="B970" t="str">
            <v>VAR_fin</v>
          </cell>
          <cell r="C970" t="str">
            <v>RHES_SOL_ELC</v>
          </cell>
          <cell r="D970">
            <v>2.1349390887346629</v>
          </cell>
          <cell r="E970">
            <v>3.3906692602685045</v>
          </cell>
          <cell r="F970">
            <v>4.0360550787711125</v>
          </cell>
          <cell r="G970">
            <v>4.3393832997459008</v>
          </cell>
          <cell r="H970">
            <v>4.6135687289296445</v>
          </cell>
          <cell r="I970">
            <v>4.8711906369629405</v>
          </cell>
          <cell r="J970">
            <v>5.4039858832319272</v>
          </cell>
        </row>
        <row r="971">
          <cell r="A971" t="str">
            <v>RHNM-SHCONBR1</v>
          </cell>
          <cell r="B971" t="str">
            <v>VAR_ncap</v>
          </cell>
          <cell r="C971" t="str">
            <v>-</v>
          </cell>
          <cell r="F971">
            <v>375</v>
          </cell>
          <cell r="G971">
            <v>4.7310676183725198</v>
          </cell>
          <cell r="H971">
            <v>4.3003918622550996</v>
          </cell>
        </row>
        <row r="972">
          <cell r="A972" t="str">
            <v>RHNM-SHCONBR1</v>
          </cell>
          <cell r="B972" t="str">
            <v>VAR_cap</v>
          </cell>
          <cell r="C972" t="str">
            <v>-</v>
          </cell>
          <cell r="F972">
            <v>375</v>
          </cell>
          <cell r="G972">
            <v>11.848368678838995</v>
          </cell>
          <cell r="H972">
            <v>10.947118884982956</v>
          </cell>
          <cell r="I972">
            <v>6.3311927241859962</v>
          </cell>
          <cell r="J972">
            <v>2.8355470014540174</v>
          </cell>
        </row>
        <row r="973">
          <cell r="A973" t="str">
            <v>D-DH2</v>
          </cell>
          <cell r="B973" t="str">
            <v>VAR_fout</v>
          </cell>
          <cell r="C973" t="str">
            <v>H2</v>
          </cell>
          <cell r="G973">
            <v>1.2990698181662011E-4</v>
          </cell>
          <cell r="H973">
            <v>8.9950832132922151E-4</v>
          </cell>
          <cell r="I973">
            <v>11.291573756062718</v>
          </cell>
          <cell r="J973">
            <v>11.947262196770296</v>
          </cell>
        </row>
        <row r="974">
          <cell r="A974" t="str">
            <v>D-DH2</v>
          </cell>
          <cell r="B974" t="str">
            <v>VAR_fin</v>
          </cell>
          <cell r="C974" t="str">
            <v>H2_E</v>
          </cell>
          <cell r="G974">
            <v>1.3121917355214154E-4</v>
          </cell>
          <cell r="H974">
            <v>9.0859426396891041E-4</v>
          </cell>
          <cell r="I974">
            <v>11.405630056629006</v>
          </cell>
          <cell r="J974">
            <v>12.067941612899292</v>
          </cell>
        </row>
        <row r="975">
          <cell r="A975" t="str">
            <v>D-DH2</v>
          </cell>
          <cell r="B975" t="str">
            <v>VAR_ncap</v>
          </cell>
          <cell r="C975" t="str">
            <v>-</v>
          </cell>
          <cell r="G975">
            <v>7.66403628444295E-4</v>
          </cell>
          <cell r="H975">
            <v>8.5367746458727605E-4</v>
          </cell>
          <cell r="I975">
            <v>1.5153450950415801</v>
          </cell>
          <cell r="J975">
            <v>8.7962150521047194E-2</v>
          </cell>
        </row>
        <row r="976">
          <cell r="A976" t="str">
            <v>D-DH2</v>
          </cell>
          <cell r="B976" t="str">
            <v>VAR_cap</v>
          </cell>
          <cell r="C976" t="str">
            <v>-</v>
          </cell>
          <cell r="G976">
            <v>7.66403628444295E-4</v>
          </cell>
          <cell r="H976">
            <v>1.6200810930315701E-3</v>
          </cell>
          <cell r="I976">
            <v>1.5169651761346099</v>
          </cell>
          <cell r="J976">
            <v>1.6049273266556501</v>
          </cell>
        </row>
        <row r="977">
          <cell r="A977" t="str">
            <v>ITOT-SWHHFOBR</v>
          </cell>
          <cell r="B977" t="str">
            <v>VAR_fout</v>
          </cell>
          <cell r="C977" t="str">
            <v>ITOT-SWH</v>
          </cell>
          <cell r="D977">
            <v>1.8459251245252504</v>
          </cell>
          <cell r="E977">
            <v>1.8457931733678312</v>
          </cell>
          <cell r="F977">
            <v>3.244276238856901E-2</v>
          </cell>
          <cell r="G977">
            <v>3.1390450357645489E-3</v>
          </cell>
          <cell r="H977">
            <v>4.3720862185581355E-2</v>
          </cell>
          <cell r="I977">
            <v>4.3085175579479209E-3</v>
          </cell>
        </row>
        <row r="978">
          <cell r="A978" t="str">
            <v>ITOT-SWHHFOBR</v>
          </cell>
          <cell r="B978" t="str">
            <v>VAR_fout</v>
          </cell>
          <cell r="C978" t="str">
            <v>CO2_I</v>
          </cell>
          <cell r="D978">
            <v>210.22182967416401</v>
          </cell>
          <cell r="E978">
            <v>209.30133914928601</v>
          </cell>
          <cell r="F978">
            <v>3.6551882270431699</v>
          </cell>
          <cell r="G978">
            <v>0.34991888201790899</v>
          </cell>
          <cell r="H978">
            <v>4.8226432279197997</v>
          </cell>
          <cell r="I978">
            <v>0.47032550340172202</v>
          </cell>
        </row>
        <row r="979">
          <cell r="A979" t="str">
            <v>ITOT-SWHHFOBR</v>
          </cell>
          <cell r="B979" t="str">
            <v>VAR_fin</v>
          </cell>
          <cell r="C979" t="str">
            <v>IHFO</v>
          </cell>
          <cell r="D979">
            <v>2.7301536321320046</v>
          </cell>
          <cell r="E979">
            <v>2.7181992097309959</v>
          </cell>
          <cell r="F979">
            <v>4.7469976974586547E-2</v>
          </cell>
          <cell r="G979">
            <v>4.5444010651676508E-3</v>
          </cell>
          <cell r="H979">
            <v>6.2631730232724711E-2</v>
          </cell>
          <cell r="I979">
            <v>6.1081234208015898E-3</v>
          </cell>
        </row>
        <row r="980">
          <cell r="A980" t="str">
            <v>ITOT-SWHHFOBR</v>
          </cell>
          <cell r="B980" t="str">
            <v>VAR_ncap</v>
          </cell>
          <cell r="C980" t="str">
            <v>-</v>
          </cell>
          <cell r="D980">
            <v>1.33925594243944E-2</v>
          </cell>
          <cell r="E980">
            <v>4.7356802545426001E-4</v>
          </cell>
          <cell r="F980">
            <v>2.5592586420375001E-4</v>
          </cell>
          <cell r="G980">
            <v>2.8089696296672799E-4</v>
          </cell>
          <cell r="H980">
            <v>3.9895138418329203E-3</v>
          </cell>
          <cell r="I980">
            <v>4.6875235681626199E-4</v>
          </cell>
          <cell r="J980">
            <v>4.4308452484250199E-5</v>
          </cell>
        </row>
        <row r="981">
          <cell r="A981" t="str">
            <v>ITOT-SWHHFOBR</v>
          </cell>
          <cell r="B981" t="str">
            <v>VAR_cap</v>
          </cell>
          <cell r="C981" t="str">
            <v>-</v>
          </cell>
          <cell r="D981">
            <v>0.11410955942439441</v>
          </cell>
          <cell r="E981">
            <v>0.11438740226748473</v>
          </cell>
          <cell r="F981">
            <v>3.0795694956704117E-3</v>
          </cell>
          <cell r="G981">
            <v>3.0204146214710126E-4</v>
          </cell>
          <cell r="H981">
            <v>4.0657601923268956E-3</v>
          </cell>
          <cell r="I981">
            <v>4.1462364748260944E-4</v>
          </cell>
          <cell r="J981">
            <v>-5.8651647282400264E-5</v>
          </cell>
        </row>
        <row r="982">
          <cell r="A982" t="str">
            <v>RHNM-SHCONBR2</v>
          </cell>
          <cell r="B982" t="str">
            <v>VAR_ncap</v>
          </cell>
          <cell r="C982" t="str">
            <v>-</v>
          </cell>
          <cell r="F982">
            <v>375</v>
          </cell>
          <cell r="G982">
            <v>4.73106761837278</v>
          </cell>
          <cell r="H982">
            <v>4.3003918622553901</v>
          </cell>
        </row>
        <row r="983">
          <cell r="A983" t="str">
            <v>RHNM-SHCONBR2</v>
          </cell>
          <cell r="B983" t="str">
            <v>VAR_cap</v>
          </cell>
          <cell r="C983" t="str">
            <v>-</v>
          </cell>
          <cell r="F983">
            <v>375</v>
          </cell>
          <cell r="G983">
            <v>11.848368678838028</v>
          </cell>
          <cell r="H983">
            <v>10.947118884980966</v>
          </cell>
          <cell r="I983">
            <v>6.3311927241839498</v>
          </cell>
          <cell r="J983">
            <v>2.8355470014540174</v>
          </cell>
        </row>
        <row r="984">
          <cell r="A984" t="str">
            <v>RHSA-WHSTG-ELCHP</v>
          </cell>
          <cell r="B984" t="str">
            <v>VAR_fout</v>
          </cell>
          <cell r="C984" t="str">
            <v>AUX_RHSA-WHSTG-ELCHP_OUT</v>
          </cell>
          <cell r="D984">
            <v>0.33303369912126585</v>
          </cell>
          <cell r="E984">
            <v>0.50260635963848788</v>
          </cell>
          <cell r="F984">
            <v>0.78293529649401605</v>
          </cell>
          <cell r="G984">
            <v>1.49755849733746</v>
          </cell>
          <cell r="H984">
            <v>1.5422347691197718</v>
          </cell>
          <cell r="I984">
            <v>1.6869041805665221</v>
          </cell>
          <cell r="J984">
            <v>2.119440048689246</v>
          </cell>
        </row>
        <row r="985">
          <cell r="A985" t="str">
            <v>RHSA-WHSTG-ELCHP</v>
          </cell>
          <cell r="B985" t="str">
            <v>VAR_fout</v>
          </cell>
          <cell r="C985" t="str">
            <v>RHSA-WHAELCH</v>
          </cell>
          <cell r="D985">
            <v>0.33270099812314269</v>
          </cell>
          <cell r="E985">
            <v>0.50210425538310466</v>
          </cell>
          <cell r="F985">
            <v>0.7821531433506651</v>
          </cell>
          <cell r="G985">
            <v>1.4960624349025573</v>
          </cell>
          <cell r="H985">
            <v>1.5406940750447276</v>
          </cell>
          <cell r="I985">
            <v>1.6852189616049149</v>
          </cell>
          <cell r="J985">
            <v>2.1173227259632839</v>
          </cell>
        </row>
        <row r="986">
          <cell r="A986" t="str">
            <v>RHSA-WHSTG-ELCHP</v>
          </cell>
          <cell r="B986" t="str">
            <v>VAR_fin</v>
          </cell>
          <cell r="C986" t="str">
            <v>RHSA-WHAELCH</v>
          </cell>
          <cell r="D986">
            <v>0.3330964079294127</v>
          </cell>
          <cell r="E986">
            <v>0.50218617403896049</v>
          </cell>
          <cell r="F986">
            <v>0.78216168980460621</v>
          </cell>
          <cell r="G986">
            <v>1.4961062013772939</v>
          </cell>
          <cell r="H986">
            <v>1.5407652424532419</v>
          </cell>
          <cell r="I986">
            <v>1.6853346342129996</v>
          </cell>
          <cell r="J986">
            <v>2.1173582122175314</v>
          </cell>
        </row>
        <row r="987">
          <cell r="A987" t="str">
            <v>RHSA-WHSTG-ELCHP</v>
          </cell>
          <cell r="B987" t="str">
            <v>VAR_ncap</v>
          </cell>
          <cell r="C987" t="str">
            <v>-</v>
          </cell>
          <cell r="D987">
            <v>6.6280080800076996E-2</v>
          </cell>
          <cell r="E987">
            <v>3.4955890285700902E-4</v>
          </cell>
          <cell r="F987">
            <v>1.89549915331645E-2</v>
          </cell>
          <cell r="G987">
            <v>4.1338184598133897E-2</v>
          </cell>
          <cell r="H987">
            <v>8.6094941245761794E-2</v>
          </cell>
          <cell r="I987">
            <v>8.5169646142057603E-2</v>
          </cell>
          <cell r="J987">
            <v>0.148149690877073</v>
          </cell>
        </row>
        <row r="988">
          <cell r="A988" t="str">
            <v>RHSA-WHSTG-ELCHP</v>
          </cell>
          <cell r="B988" t="str">
            <v>VAR_cap</v>
          </cell>
          <cell r="C988" t="str">
            <v>-</v>
          </cell>
          <cell r="D988">
            <v>6.6281320329480087E-2</v>
          </cell>
          <cell r="E988">
            <v>5.7988825119562382E-2</v>
          </cell>
          <cell r="F988">
            <v>7.6663259510851567E-2</v>
          </cell>
          <cell r="G988">
            <v>0.11755565392356014</v>
          </cell>
          <cell r="H988">
            <v>0.15787858129128685</v>
          </cell>
          <cell r="I988">
            <v>0.20150411050306885</v>
          </cell>
          <cell r="J988">
            <v>0.24544006464246707</v>
          </cell>
        </row>
        <row r="989">
          <cell r="A989" t="str">
            <v>RHNM-SHCONBR3</v>
          </cell>
          <cell r="B989" t="str">
            <v>VAR_ncap</v>
          </cell>
          <cell r="C989" t="str">
            <v>-</v>
          </cell>
          <cell r="F989">
            <v>375</v>
          </cell>
          <cell r="G989">
            <v>4.7310676183725198</v>
          </cell>
          <cell r="H989">
            <v>4.3003918622550996</v>
          </cell>
        </row>
        <row r="990">
          <cell r="A990" t="str">
            <v>RHNM-SHCONBR3</v>
          </cell>
          <cell r="B990" t="str">
            <v>VAR_cap</v>
          </cell>
          <cell r="C990" t="str">
            <v>-</v>
          </cell>
          <cell r="F990">
            <v>375</v>
          </cell>
          <cell r="G990">
            <v>11.848368678838995</v>
          </cell>
          <cell r="H990">
            <v>10.947118884982956</v>
          </cell>
          <cell r="I990">
            <v>6.3311927241859962</v>
          </cell>
          <cell r="J990">
            <v>2.8355470014540174</v>
          </cell>
        </row>
        <row r="991">
          <cell r="A991" t="str">
            <v>RES-ELCSPECADV</v>
          </cell>
          <cell r="B991" t="str">
            <v>VAR_fout</v>
          </cell>
          <cell r="C991" t="str">
            <v>RHSA-ELS</v>
          </cell>
          <cell r="F991">
            <v>6.0844044165168852E-5</v>
          </cell>
          <cell r="G991">
            <v>9.2904641067148486</v>
          </cell>
          <cell r="H991">
            <v>13.765878672946375</v>
          </cell>
          <cell r="I991">
            <v>18.436523427032544</v>
          </cell>
          <cell r="J991">
            <v>27.774278038248092</v>
          </cell>
        </row>
        <row r="992">
          <cell r="A992" t="str">
            <v>RES-ELCSPECADV</v>
          </cell>
          <cell r="B992" t="str">
            <v>VAR_fin</v>
          </cell>
          <cell r="C992" t="str">
            <v>RHSA_ELC</v>
          </cell>
          <cell r="F992">
            <v>4.0562696110112589E-5</v>
          </cell>
          <cell r="G992">
            <v>6.1936427378099008</v>
          </cell>
          <cell r="H992">
            <v>9.1772524486309113</v>
          </cell>
          <cell r="I992">
            <v>12.291015618021673</v>
          </cell>
          <cell r="J992">
            <v>18.516185358832065</v>
          </cell>
        </row>
        <row r="993">
          <cell r="A993" t="str">
            <v>RES-ELCSPECADV</v>
          </cell>
          <cell r="B993" t="str">
            <v>VAR_ncap</v>
          </cell>
          <cell r="C993" t="str">
            <v>-</v>
          </cell>
          <cell r="F993">
            <v>1.0054066097900001E-3</v>
          </cell>
          <cell r="G993">
            <v>0.98099412102706396</v>
          </cell>
          <cell r="H993">
            <v>0.47305784939393702</v>
          </cell>
          <cell r="I993">
            <v>0.49368579685503</v>
          </cell>
          <cell r="J993">
            <v>1.3281496122515599</v>
          </cell>
        </row>
        <row r="994">
          <cell r="A994" t="str">
            <v>RES-ELCSPECADV</v>
          </cell>
          <cell r="B994" t="str">
            <v>VAR_cap</v>
          </cell>
          <cell r="C994" t="str">
            <v>-</v>
          </cell>
          <cell r="F994">
            <v>1.0054066097900001E-3</v>
          </cell>
          <cell r="G994">
            <v>0.9819973591212191</v>
          </cell>
          <cell r="H994">
            <v>1.4550498828459488</v>
          </cell>
          <cell r="I994">
            <v>1.9487275543538471</v>
          </cell>
          <cell r="J994">
            <v>2.9357214382005612</v>
          </cell>
        </row>
        <row r="995">
          <cell r="A995" t="str">
            <v>ITOT-SWHSTG-ELCHP</v>
          </cell>
          <cell r="B995" t="str">
            <v>VAR_fout</v>
          </cell>
          <cell r="C995" t="str">
            <v>ITOT-SWHAELCH</v>
          </cell>
          <cell r="D995">
            <v>1.3480724432021337E-3</v>
          </cell>
          <cell r="E995">
            <v>4.1801075933339284E-4</v>
          </cell>
          <cell r="F995">
            <v>3.9507872924431378E-2</v>
          </cell>
          <cell r="G995">
            <v>1.4922334677952632E-2</v>
          </cell>
          <cell r="H995">
            <v>3.4100900907277319E-2</v>
          </cell>
          <cell r="I995">
            <v>0.15510308422390923</v>
          </cell>
          <cell r="J995">
            <v>0.37282072194091798</v>
          </cell>
        </row>
        <row r="996">
          <cell r="A996" t="str">
            <v>ITOT-SWHSTG-ELCHP</v>
          </cell>
          <cell r="B996" t="str">
            <v>VAR_fin</v>
          </cell>
          <cell r="C996" t="str">
            <v>ITOT-SWHAELCH</v>
          </cell>
          <cell r="D996">
            <v>1.0615019385398104E-3</v>
          </cell>
          <cell r="E996">
            <v>5.3659915048788183E-4</v>
          </cell>
          <cell r="F996">
            <v>5.0661503478192274E-2</v>
          </cell>
          <cell r="G996">
            <v>1.8684694630331011E-2</v>
          </cell>
          <cell r="H996">
            <v>4.1371564021815993E-2</v>
          </cell>
          <cell r="I996">
            <v>0.18231601885943458</v>
          </cell>
          <cell r="J996">
            <v>0.41426519247230581</v>
          </cell>
        </row>
        <row r="997">
          <cell r="A997" t="str">
            <v>ITOT-SWHSTG-ELCHP</v>
          </cell>
          <cell r="B997" t="str">
            <v>VAR_ncap</v>
          </cell>
          <cell r="C997" t="str">
            <v>-</v>
          </cell>
          <cell r="D997">
            <v>6.7676224298321402E-2</v>
          </cell>
          <cell r="E997">
            <v>1.4603058396640701E-4</v>
          </cell>
          <cell r="F997">
            <v>1.4960915601942701E-2</v>
          </cell>
          <cell r="G997">
            <v>4.4781084910274598E-2</v>
          </cell>
          <cell r="H997">
            <v>2.8371665996415801E-2</v>
          </cell>
          <cell r="I997">
            <v>3.43202868879924E-2</v>
          </cell>
          <cell r="J997">
            <v>0.107886590063098</v>
          </cell>
        </row>
        <row r="998">
          <cell r="A998" t="str">
            <v>ITOT-SWHSTG-ELCHP</v>
          </cell>
          <cell r="B998" t="str">
            <v>VAR_cap</v>
          </cell>
          <cell r="C998" t="str">
            <v>-</v>
          </cell>
          <cell r="D998">
            <v>6.7676224298321402E-2</v>
          </cell>
          <cell r="E998">
            <v>1.8800041711474993E-2</v>
          </cell>
          <cell r="F998">
            <v>3.3903512351335305E-2</v>
          </cell>
          <cell r="G998">
            <v>7.8899792253771389E-2</v>
          </cell>
          <cell r="H998">
            <v>9.17394818232104E-2</v>
          </cell>
          <cell r="I998">
            <v>9.4121270828761108E-2</v>
          </cell>
          <cell r="J998">
            <v>0.14352953397681306</v>
          </cell>
        </row>
        <row r="999">
          <cell r="A999" t="str">
            <v>D-RHNS_LTH_CHPWOD</v>
          </cell>
          <cell r="B999" t="str">
            <v>VAR_fout</v>
          </cell>
          <cell r="C999" t="str">
            <v>RHNS_LTH_CHPWOD_ON</v>
          </cell>
          <cell r="D999">
            <v>1.9763307501503534E-4</v>
          </cell>
          <cell r="E999">
            <v>1.7424416835493364E-4</v>
          </cell>
          <cell r="F999">
            <v>7.6237024782632945E-5</v>
          </cell>
          <cell r="G999">
            <v>1.174115127308193E-4</v>
          </cell>
          <cell r="H999">
            <v>6.5423001031919898E-5</v>
          </cell>
          <cell r="I999">
            <v>1.0780140517809619E-4</v>
          </cell>
          <cell r="J999">
            <v>1.0774327398804972E-5</v>
          </cell>
        </row>
        <row r="1000">
          <cell r="A1000" t="str">
            <v>D-RHNS_LTH_CHPWOD</v>
          </cell>
          <cell r="B1000" t="str">
            <v>VAR_fout</v>
          </cell>
          <cell r="C1000" t="str">
            <v>RHSA_LTH</v>
          </cell>
          <cell r="D1000">
            <v>7.3505145236842648E-4</v>
          </cell>
          <cell r="E1000">
            <v>3.7953724320407807E-4</v>
          </cell>
          <cell r="F1000">
            <v>1.5565495800745375E-4</v>
          </cell>
          <cell r="G1000">
            <v>3.1276524733665106E-4</v>
          </cell>
          <cell r="H1000">
            <v>3.1388875736735531E-4</v>
          </cell>
          <cell r="I1000">
            <v>2.8877475139819551E-4</v>
          </cell>
          <cell r="J1000">
            <v>2.7344715882862474E-4</v>
          </cell>
        </row>
        <row r="1001">
          <cell r="A1001" t="str">
            <v>D-RHNS_LTH_CHPWOD</v>
          </cell>
          <cell r="B1001" t="str">
            <v>VAR_fout</v>
          </cell>
          <cell r="C1001" t="str">
            <v>LTH</v>
          </cell>
          <cell r="E1001">
            <v>9.7386301553453112E-6</v>
          </cell>
          <cell r="F1001">
            <v>9.6416998250912484E-6</v>
          </cell>
          <cell r="G1001">
            <v>2.0943025503810048E-5</v>
          </cell>
          <cell r="H1001">
            <v>3.3484444667719983E-5</v>
          </cell>
          <cell r="I1001">
            <v>1.0237422505825353E-4</v>
          </cell>
          <cell r="J1001">
            <v>1.1692800793409949E-4</v>
          </cell>
        </row>
        <row r="1002">
          <cell r="A1002" t="str">
            <v>D-RHNS_LTH_CHPWOD</v>
          </cell>
          <cell r="B1002" t="str">
            <v>VAR_fin</v>
          </cell>
          <cell r="C1002" t="str">
            <v>RHNS_LTH_CHPWOD</v>
          </cell>
          <cell r="D1002">
            <v>9.326845273834618E-4</v>
          </cell>
          <cell r="E1002">
            <v>5.6352004171435677E-4</v>
          </cell>
          <cell r="F1002">
            <v>2.4153368261517797E-4</v>
          </cell>
          <cell r="G1002">
            <v>4.5111978557128059E-4</v>
          </cell>
          <cell r="H1002">
            <v>4.1279620306699518E-4</v>
          </cell>
          <cell r="I1002">
            <v>4.9895038163454521E-4</v>
          </cell>
          <cell r="J1002">
            <v>4.0114949416152941E-4</v>
          </cell>
        </row>
        <row r="1003">
          <cell r="A1003" t="str">
            <v>RHNM-SHCONBR4</v>
          </cell>
          <cell r="B1003" t="str">
            <v>VAR_ncap</v>
          </cell>
          <cell r="C1003" t="str">
            <v>-</v>
          </cell>
          <cell r="F1003">
            <v>375</v>
          </cell>
          <cell r="G1003">
            <v>4.73106761837278</v>
          </cell>
          <cell r="H1003">
            <v>4.3003918622553901</v>
          </cell>
        </row>
        <row r="1004">
          <cell r="A1004" t="str">
            <v>RHNM-SHCONBR4</v>
          </cell>
          <cell r="B1004" t="str">
            <v>VAR_cap</v>
          </cell>
          <cell r="C1004" t="str">
            <v>-</v>
          </cell>
          <cell r="F1004">
            <v>375</v>
          </cell>
          <cell r="G1004">
            <v>11.848368678838028</v>
          </cell>
          <cell r="H1004">
            <v>10.947118884980966</v>
          </cell>
          <cell r="I1004">
            <v>6.3311927241839498</v>
          </cell>
          <cell r="J1004">
            <v>2.8355470014540174</v>
          </cell>
        </row>
        <row r="1005">
          <cell r="A1005" t="str">
            <v>D-SBIO</v>
          </cell>
          <cell r="B1005" t="str">
            <v>VAR_fout</v>
          </cell>
          <cell r="C1005" t="str">
            <v>SBIO</v>
          </cell>
          <cell r="D1005">
            <v>4.0479078015955148</v>
          </cell>
          <cell r="E1005">
            <v>4.5874623138564417</v>
          </cell>
          <cell r="F1005">
            <v>3.0613866770378437</v>
          </cell>
          <cell r="G1005">
            <v>3.0405769708236456</v>
          </cell>
          <cell r="H1005">
            <v>3.4372411322654908</v>
          </cell>
          <cell r="I1005">
            <v>2.9588073401638466</v>
          </cell>
          <cell r="J1005">
            <v>2.8823392248416515</v>
          </cell>
        </row>
        <row r="1006">
          <cell r="A1006" t="str">
            <v>D-SBIO</v>
          </cell>
          <cell r="B1006" t="str">
            <v>VAR_fin</v>
          </cell>
          <cell r="C1006" t="str">
            <v>BIO</v>
          </cell>
          <cell r="D1006">
            <v>4.0479078015955148</v>
          </cell>
          <cell r="E1006">
            <v>4.5874623138564417</v>
          </cell>
          <cell r="F1006">
            <v>3.0613866770378437</v>
          </cell>
          <cell r="G1006">
            <v>3.0405769708236456</v>
          </cell>
          <cell r="H1006">
            <v>3.4372411322654908</v>
          </cell>
          <cell r="I1006">
            <v>2.9588073401638466</v>
          </cell>
          <cell r="J1006">
            <v>2.8823392248416515</v>
          </cell>
        </row>
        <row r="1007">
          <cell r="A1007" t="str">
            <v>RHEM-SHDEM</v>
          </cell>
          <cell r="B1007" t="str">
            <v>VAR_fout</v>
          </cell>
          <cell r="C1007" t="str">
            <v>RHEM-SHD</v>
          </cell>
          <cell r="D1007">
            <v>66.986774791699034</v>
          </cell>
          <cell r="E1007">
            <v>66.782026660973159</v>
          </cell>
          <cell r="F1007">
            <v>66.364927515686631</v>
          </cell>
          <cell r="G1007">
            <v>63.763343175585042</v>
          </cell>
          <cell r="H1007">
            <v>61.594591770108622</v>
          </cell>
          <cell r="I1007">
            <v>59.725063815024818</v>
          </cell>
          <cell r="J1007">
            <v>57.134169127252598</v>
          </cell>
        </row>
        <row r="1008">
          <cell r="A1008" t="str">
            <v>RHEM-SHDEM</v>
          </cell>
          <cell r="B1008" t="str">
            <v>VAR_fin</v>
          </cell>
          <cell r="C1008" t="str">
            <v>RHEM-SHNST</v>
          </cell>
          <cell r="D1008">
            <v>3.7911476409920762E-3</v>
          </cell>
          <cell r="E1008">
            <v>6.1508825687072095E-4</v>
          </cell>
          <cell r="F1008">
            <v>3.5487070546276504E-5</v>
          </cell>
          <cell r="G1008">
            <v>7.3228152159957605E-5</v>
          </cell>
          <cell r="H1008">
            <v>3.6261940755651369E-5</v>
          </cell>
          <cell r="I1008">
            <v>6.0624630351421404E-6</v>
          </cell>
          <cell r="J1008">
            <v>3.2750373100423423E-5</v>
          </cell>
        </row>
        <row r="1009">
          <cell r="A1009" t="str">
            <v>RHEM-SHDEM</v>
          </cell>
          <cell r="B1009" t="str">
            <v>VAR_fin</v>
          </cell>
          <cell r="C1009" t="str">
            <v>RHEM-SHPLT</v>
          </cell>
          <cell r="D1009">
            <v>1.3961673981064833</v>
          </cell>
          <cell r="E1009">
            <v>1.6068944000067134</v>
          </cell>
          <cell r="F1009">
            <v>0.28625520562371848</v>
          </cell>
          <cell r="G1009">
            <v>0.3374716474467836</v>
          </cell>
          <cell r="H1009">
            <v>0.34343692898090455</v>
          </cell>
          <cell r="I1009">
            <v>0.36304991511906309</v>
          </cell>
          <cell r="J1009">
            <v>0.2851962333114636</v>
          </cell>
        </row>
        <row r="1010">
          <cell r="A1010" t="str">
            <v>RHEM-SHDEM</v>
          </cell>
          <cell r="B1010" t="str">
            <v>VAR_fin</v>
          </cell>
          <cell r="C1010" t="str">
            <v>RHEM-SHNGAH</v>
          </cell>
          <cell r="D1010">
            <v>2.7484194905728243E-3</v>
          </cell>
          <cell r="E1010">
            <v>6.2814953073033202E-4</v>
          </cell>
          <cell r="F1010">
            <v>2.4337476581336315</v>
          </cell>
          <cell r="G1010">
            <v>6.9467540681055757</v>
          </cell>
          <cell r="H1010">
            <v>8.5403719706950518</v>
          </cell>
          <cell r="I1010">
            <v>10.405184841833806</v>
          </cell>
          <cell r="J1010">
            <v>9.2192268298415296</v>
          </cell>
        </row>
        <row r="1011">
          <cell r="A1011" t="str">
            <v>RHEM-SHDEM</v>
          </cell>
          <cell r="B1011" t="str">
            <v>VAR_fin</v>
          </cell>
          <cell r="C1011" t="str">
            <v>RHEM-SHLTHC-WOD</v>
          </cell>
          <cell r="D1011">
            <v>3.5938953749280592E-3</v>
          </cell>
          <cell r="E1011">
            <v>6.0059955375637143E-4</v>
          </cell>
          <cell r="F1011">
            <v>3.40347929106669E-5</v>
          </cell>
          <cell r="G1011">
            <v>2.1668756835091553E-5</v>
          </cell>
          <cell r="H1011">
            <v>2.1311993869142882E-5</v>
          </cell>
          <cell r="I1011">
            <v>6.9146371489294653E-5</v>
          </cell>
          <cell r="J1011">
            <v>4.1643146783717878E-5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RHEM-SHSOL</v>
          </cell>
          <cell r="D1012">
            <v>0.40712931268336339</v>
          </cell>
          <cell r="E1012">
            <v>0.47030881786294448</v>
          </cell>
          <cell r="F1012">
            <v>9.9630238107176351E-3</v>
          </cell>
          <cell r="G1012">
            <v>1.1801455400144033E-2</v>
          </cell>
          <cell r="H1012">
            <v>1.1770021776547375E-2</v>
          </cell>
          <cell r="I1012">
            <v>1.1114516204050002E-2</v>
          </cell>
          <cell r="J1012">
            <v>9.1809713572729313E-3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RHEM-SHLTHD</v>
          </cell>
          <cell r="D1013">
            <v>3.2038224981837935</v>
          </cell>
          <cell r="E1013">
            <v>3.7876539051621996</v>
          </cell>
          <cell r="F1013">
            <v>4.4290907379136266</v>
          </cell>
          <cell r="G1013">
            <v>5.2634924577645403</v>
          </cell>
          <cell r="H1013">
            <v>5.4117187438966932</v>
          </cell>
          <cell r="I1013">
            <v>5.6680643638995463</v>
          </cell>
          <cell r="J1013">
            <v>5.130934553129002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</v>
          </cell>
          <cell r="D1014">
            <v>18.987678954975813</v>
          </cell>
          <cell r="E1014">
            <v>18.880403924133777</v>
          </cell>
          <cell r="F1014">
            <v>21.081761591513054</v>
          </cell>
          <cell r="G1014">
            <v>15.214433759031099</v>
          </cell>
          <cell r="H1014">
            <v>9.47243526094476</v>
          </cell>
          <cell r="I1014">
            <v>3.8597640271150113</v>
          </cell>
          <cell r="J1014">
            <v>1.4360922296924032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RHEM-SHELCB</v>
          </cell>
          <cell r="D1015">
            <v>4.6189749857922111</v>
          </cell>
          <cell r="E1015">
            <v>3.1629187269981327</v>
          </cell>
          <cell r="F1015">
            <v>3.8046387066145028E-2</v>
          </cell>
          <cell r="G1015">
            <v>1.2736487116064527E-2</v>
          </cell>
          <cell r="H1015">
            <v>4.1431399690214973E-3</v>
          </cell>
          <cell r="I1015">
            <v>3.3591099148193174E-3</v>
          </cell>
          <cell r="J1015">
            <v>3.65201950918569E-3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RHEM-SHELCH</v>
          </cell>
          <cell r="D1016">
            <v>9.8916762759407337</v>
          </cell>
          <cell r="E1016">
            <v>11.654095633319649</v>
          </cell>
          <cell r="F1016">
            <v>10.027102556905124</v>
          </cell>
          <cell r="G1016">
            <v>14.927055654136804</v>
          </cell>
          <cell r="H1016">
            <v>18.148926571296403</v>
          </cell>
          <cell r="I1016">
            <v>22.204656816784532</v>
          </cell>
          <cell r="J1016">
            <v>22.172925112039547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RHEM-SHLFO</v>
          </cell>
          <cell r="D1017">
            <v>23.43052655724561</v>
          </cell>
          <cell r="E1017">
            <v>18.686359456233681</v>
          </cell>
          <cell r="F1017">
            <v>20.242306247567896</v>
          </cell>
          <cell r="G1017">
            <v>10.639591687326803</v>
          </cell>
          <cell r="H1017">
            <v>7.0313938323409602</v>
          </cell>
          <cell r="I1017">
            <v>2.6196564287481126</v>
          </cell>
          <cell r="J1017">
            <v>0.28398035990219839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RHEM-SHCON</v>
          </cell>
          <cell r="D1018">
            <v>0.25611767255259504</v>
          </cell>
          <cell r="E1018">
            <v>3.57306475343779</v>
          </cell>
          <cell r="F1018">
            <v>2.872543698208248</v>
          </cell>
          <cell r="G1018">
            <v>5.9224550742750308</v>
          </cell>
          <cell r="H1018">
            <v>8.7326804132738669</v>
          </cell>
          <cell r="I1018">
            <v>11.295428134487878</v>
          </cell>
          <cell r="J1018">
            <v>16.658754299351362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RHEM-SHWOD</v>
          </cell>
          <cell r="D1019">
            <v>4.7350891815680072</v>
          </cell>
          <cell r="E1019">
            <v>4.9441153634651771</v>
          </cell>
          <cell r="F1019">
            <v>4.9534647160438503</v>
          </cell>
          <cell r="G1019">
            <v>4.4942494737858585</v>
          </cell>
          <cell r="H1019">
            <v>3.9055119618557286</v>
          </cell>
          <cell r="I1019">
            <v>3.3013756166793842</v>
          </cell>
          <cell r="J1019">
            <v>1.9394667773657535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RHEM-SHLTHC-NGA</v>
          </cell>
          <cell r="D1020">
            <v>5.7179279109813984E-2</v>
          </cell>
          <cell r="E1020">
            <v>2.3413971573732855E-2</v>
          </cell>
          <cell r="F1020">
            <v>2.1450705642122841E-5</v>
          </cell>
          <cell r="G1020">
            <v>1.7978139239544041E-5</v>
          </cell>
          <cell r="H1020">
            <v>2.0682695942397447E-5</v>
          </cell>
          <cell r="I1020">
            <v>1.7449105560428266E-5</v>
          </cell>
          <cell r="J1020">
            <v>3.7226381197238304E-5</v>
          </cell>
        </row>
        <row r="1021">
          <cell r="A1021" t="str">
            <v>ITOT-SWHH2BR</v>
          </cell>
          <cell r="B1021" t="str">
            <v>VAR_fout</v>
          </cell>
          <cell r="C1021" t="str">
            <v>ITOT-SWH</v>
          </cell>
          <cell r="H1021">
            <v>7.8055342400521148</v>
          </cell>
          <cell r="I1021">
            <v>8.3374332998865537</v>
          </cell>
          <cell r="J1021">
            <v>8.3373996415219676</v>
          </cell>
        </row>
        <row r="1022">
          <cell r="A1022" t="str">
            <v>ITOT-SWHH2BR</v>
          </cell>
          <cell r="B1022" t="str">
            <v>VAR_fin</v>
          </cell>
          <cell r="C1022" t="str">
            <v>IH2</v>
          </cell>
          <cell r="H1022">
            <v>9.6751040249772622</v>
          </cell>
          <cell r="I1022">
            <v>10.311886889083157</v>
          </cell>
          <cell r="J1022">
            <v>10.267106786914308</v>
          </cell>
        </row>
        <row r="1023">
          <cell r="A1023" t="str">
            <v>ITOT-SWHH2BR</v>
          </cell>
          <cell r="B1023" t="str">
            <v>VAR_ncap</v>
          </cell>
          <cell r="C1023" t="str">
            <v>-</v>
          </cell>
          <cell r="H1023">
            <v>0.61954462572808999</v>
          </cell>
          <cell r="I1023">
            <v>8.3842237376254097E-2</v>
          </cell>
          <cell r="J1023">
            <v>0.34027325112657703</v>
          </cell>
        </row>
        <row r="1024">
          <cell r="A1024" t="str">
            <v>ITOT-SWHH2BR</v>
          </cell>
          <cell r="B1024" t="str">
            <v>VAR_cap</v>
          </cell>
          <cell r="C1024" t="str">
            <v>-</v>
          </cell>
          <cell r="H1024">
            <v>0.61954462572808999</v>
          </cell>
          <cell r="I1024">
            <v>0.70325231200856431</v>
          </cell>
          <cell r="J1024">
            <v>0.66292986886504957</v>
          </cell>
        </row>
        <row r="1025">
          <cell r="A1025" t="str">
            <v>RHNS-SHSTG-ELC</v>
          </cell>
          <cell r="B1025" t="str">
            <v>VAR_fout</v>
          </cell>
          <cell r="C1025" t="str">
            <v>RHNS-SHAELCB</v>
          </cell>
          <cell r="E1025">
            <v>3.0088291112400451E-3</v>
          </cell>
          <cell r="F1025">
            <v>2.6966461158508013E-4</v>
          </cell>
          <cell r="G1025">
            <v>8.8425587279039489E-4</v>
          </cell>
          <cell r="H1025">
            <v>8.0105586630700568E-4</v>
          </cell>
          <cell r="I1025">
            <v>1.4747347950700754E-3</v>
          </cell>
          <cell r="J1025">
            <v>1.3322769161489274E-3</v>
          </cell>
        </row>
        <row r="1026">
          <cell r="A1026" t="str">
            <v>RHNS-SHSTG-ELC</v>
          </cell>
          <cell r="B1026" t="str">
            <v>VAR_fout</v>
          </cell>
          <cell r="C1026" t="str">
            <v>AUX_RHNS-SHSTG-ELC_OUT</v>
          </cell>
          <cell r="E1026">
            <v>3.0118379403512819E-3</v>
          </cell>
          <cell r="F1026">
            <v>2.6993427619666503E-4</v>
          </cell>
          <cell r="G1026">
            <v>8.8514012866318544E-4</v>
          </cell>
          <cell r="H1026">
            <v>8.0185692217331198E-4</v>
          </cell>
          <cell r="I1026">
            <v>1.4762095298651448E-3</v>
          </cell>
          <cell r="J1026">
            <v>1.3336091930650749E-3</v>
          </cell>
        </row>
        <row r="1027">
          <cell r="A1027" t="str">
            <v>RHNS-SHSTG-ELC</v>
          </cell>
          <cell r="B1027" t="str">
            <v>VAR_fin</v>
          </cell>
          <cell r="C1027" t="str">
            <v>RHNS-SHAELCB</v>
          </cell>
          <cell r="E1027">
            <v>2.9081355358544711E-3</v>
          </cell>
          <cell r="F1027">
            <v>1.7411698547825308E-4</v>
          </cell>
          <cell r="G1027">
            <v>8.0291683000989814E-4</v>
          </cell>
          <cell r="H1027">
            <v>7.5488513706873631E-4</v>
          </cell>
          <cell r="I1027">
            <v>1.3985938706680366E-3</v>
          </cell>
          <cell r="J1027">
            <v>1.3216237899445359E-3</v>
          </cell>
        </row>
        <row r="1028">
          <cell r="A1028" t="str">
            <v>RHNS-SHSTG-ELC</v>
          </cell>
          <cell r="B1028" t="str">
            <v>VAR_ncap</v>
          </cell>
          <cell r="C1028" t="str">
            <v>-</v>
          </cell>
          <cell r="D1028">
            <v>6.5481792627650095E-4</v>
          </cell>
          <cell r="E1028">
            <v>9.4958320967110203E-4</v>
          </cell>
          <cell r="F1028">
            <v>5.2809516623800103E-4</v>
          </cell>
          <cell r="G1028">
            <v>6.1959459174830195E-4</v>
          </cell>
          <cell r="H1028">
            <v>1.4956677519947499E-3</v>
          </cell>
          <cell r="I1028">
            <v>4.7457047543086802E-4</v>
          </cell>
          <cell r="J1028">
            <v>3.4130636644201799E-4</v>
          </cell>
        </row>
        <row r="1029">
          <cell r="A1029" t="str">
            <v>RHNS-SHSTG-ELC</v>
          </cell>
          <cell r="B1029" t="str">
            <v>VAR_cap</v>
          </cell>
          <cell r="C1029" t="str">
            <v>-</v>
          </cell>
          <cell r="D1029">
            <v>6.5481792627650095E-4</v>
          </cell>
          <cell r="E1029">
            <v>1.481119395312628E-3</v>
          </cell>
          <cell r="F1029">
            <v>1.5716486585641331E-3</v>
          </cell>
          <cell r="G1029">
            <v>1.5678750870928701E-3</v>
          </cell>
          <cell r="H1029">
            <v>2.3173998565816081E-3</v>
          </cell>
          <cell r="I1029">
            <v>1.5287093264869471E-3</v>
          </cell>
          <cell r="J1029">
            <v>6.4770689505965395E-4</v>
          </cell>
        </row>
        <row r="1030">
          <cell r="A1030" t="str">
            <v>RHES-SHCOABR</v>
          </cell>
          <cell r="B1030" t="str">
            <v>VAR_fout</v>
          </cell>
          <cell r="C1030" t="str">
            <v>CO2_R</v>
          </cell>
          <cell r="D1030">
            <v>9.2728601039877496</v>
          </cell>
          <cell r="E1030">
            <v>9.2711067197275501</v>
          </cell>
          <cell r="F1030">
            <v>2.5001913696749498</v>
          </cell>
          <cell r="G1030">
            <v>2.2053707618221001E-2</v>
          </cell>
        </row>
        <row r="1031">
          <cell r="A1031" t="str">
            <v>RHES-SHCOABR</v>
          </cell>
          <cell r="B1031" t="str">
            <v>VAR_fout</v>
          </cell>
          <cell r="C1031" t="str">
            <v>RHES-SHCOA</v>
          </cell>
          <cell r="D1031">
            <v>7.2022214399904735E-2</v>
          </cell>
          <cell r="E1031">
            <v>7.2008595881379006E-2</v>
          </cell>
          <cell r="F1031">
            <v>2.1557763122038238E-2</v>
          </cell>
          <cell r="G1031">
            <v>1.9032325884117376E-4</v>
          </cell>
        </row>
        <row r="1032">
          <cell r="A1032" t="str">
            <v>RHES-SHCOABR</v>
          </cell>
          <cell r="B1032" t="str">
            <v>VAR_fin</v>
          </cell>
          <cell r="C1032" t="str">
            <v>RCOA</v>
          </cell>
          <cell r="D1032">
            <v>0.10003085333320115</v>
          </cell>
          <cell r="E1032">
            <v>0.10001193872413756</v>
          </cell>
          <cell r="F1032">
            <v>2.6970780686892657E-2</v>
          </cell>
          <cell r="G1032">
            <v>2.3790407355146724E-4</v>
          </cell>
        </row>
        <row r="1033">
          <cell r="A1033" t="str">
            <v>RHES-SHCOABR</v>
          </cell>
          <cell r="B1033" t="str">
            <v>VAR_cap</v>
          </cell>
          <cell r="C1033" t="str">
            <v>-</v>
          </cell>
          <cell r="D1033">
            <v>7.0000000000000001E-3</v>
          </cell>
          <cell r="E1033">
            <v>6.9932379087926325E-3</v>
          </cell>
          <cell r="F1033">
            <v>3.0152748074418999E-3</v>
          </cell>
          <cell r="G1033">
            <v>2.5890387824050419E-5</v>
          </cell>
          <cell r="H1033">
            <v>-3.5394028287901759E-6</v>
          </cell>
        </row>
        <row r="1034">
          <cell r="A1034" t="str">
            <v>D-INGA</v>
          </cell>
          <cell r="B1034" t="str">
            <v>VAR_fout</v>
          </cell>
          <cell r="C1034" t="str">
            <v>CO2</v>
          </cell>
          <cell r="D1034">
            <v>2112.5202690565902</v>
          </cell>
          <cell r="E1034">
            <v>1841.5167163055601</v>
          </cell>
          <cell r="F1034">
            <v>1915.4340317082499</v>
          </cell>
          <cell r="G1034">
            <v>1172.48043042719</v>
          </cell>
          <cell r="H1034">
            <v>582.62910701102396</v>
          </cell>
          <cell r="I1034">
            <v>191.33496807532299</v>
          </cell>
          <cell r="J1034">
            <v>80.746559715032106</v>
          </cell>
        </row>
        <row r="1035">
          <cell r="A1035" t="str">
            <v>D-INGA</v>
          </cell>
          <cell r="B1035" t="str">
            <v>VAR_fout</v>
          </cell>
          <cell r="C1035" t="str">
            <v>IH2</v>
          </cell>
          <cell r="H1035">
            <v>0.35761989542112516</v>
          </cell>
          <cell r="I1035">
            <v>0.17700229004532306</v>
          </cell>
          <cell r="J1035">
            <v>0.11752901646791306</v>
          </cell>
        </row>
        <row r="1036">
          <cell r="A1036" t="str">
            <v>D-INGA</v>
          </cell>
          <cell r="B1036" t="str">
            <v>VAR_fout</v>
          </cell>
          <cell r="C1036" t="str">
            <v>INGA</v>
          </cell>
          <cell r="D1036">
            <v>37.653615154402253</v>
          </cell>
          <cell r="E1036">
            <v>32.548930473134021</v>
          </cell>
          <cell r="F1036">
            <v>36.221152998557265</v>
          </cell>
          <cell r="G1036">
            <v>23.088687101288528</v>
          </cell>
          <cell r="H1036">
            <v>12.662468128728481</v>
          </cell>
          <cell r="I1036">
            <v>5.7468939493290883</v>
          </cell>
          <cell r="J1036">
            <v>3.8100483070636191</v>
          </cell>
        </row>
        <row r="1037">
          <cell r="A1037" t="str">
            <v>D-INGA</v>
          </cell>
          <cell r="B1037" t="str">
            <v>VAR_fin</v>
          </cell>
          <cell r="C1037" t="str">
            <v>NGA</v>
          </cell>
          <cell r="D1037">
            <v>37.456033139301184</v>
          </cell>
          <cell r="E1037">
            <v>32.651005608254586</v>
          </cell>
          <cell r="F1037">
            <v>33.961596306883877</v>
          </cell>
          <cell r="G1037">
            <v>20.788660113957238</v>
          </cell>
          <cell r="H1037">
            <v>10.330303315798306</v>
          </cell>
          <cell r="I1037">
            <v>3.3924639729667234</v>
          </cell>
          <cell r="J1037">
            <v>1.4316765906920563</v>
          </cell>
        </row>
        <row r="1038">
          <cell r="A1038" t="str">
            <v>D-INGA</v>
          </cell>
          <cell r="B1038" t="str">
            <v>VAR_fin</v>
          </cell>
          <cell r="C1038" t="str">
            <v>BNGA</v>
          </cell>
          <cell r="D1038">
            <v>0.31787099163468469</v>
          </cell>
          <cell r="E1038">
            <v>3.424517107988538E-3</v>
          </cell>
          <cell r="F1038">
            <v>2.3752694965447527</v>
          </cell>
          <cell r="G1038">
            <v>2.3755356612297041</v>
          </cell>
          <cell r="H1038">
            <v>2.3755499676361169</v>
          </cell>
          <cell r="I1038">
            <v>2.3755623433613335</v>
          </cell>
          <cell r="J1038">
            <v>2.3934303696814632</v>
          </cell>
        </row>
        <row r="1039">
          <cell r="A1039" t="str">
            <v>D-INGA</v>
          </cell>
          <cell r="B1039" t="str">
            <v>VAR_fin</v>
          </cell>
          <cell r="C1039" t="str">
            <v>H2</v>
          </cell>
          <cell r="H1039">
            <v>0.3576139012031524</v>
          </cell>
          <cell r="I1039">
            <v>0.17699099884315608</v>
          </cell>
          <cell r="J1039">
            <v>0.11745588517488839</v>
          </cell>
        </row>
        <row r="1040">
          <cell r="A1040" t="str">
            <v>D-INGA</v>
          </cell>
          <cell r="B1040" t="str">
            <v>VAR_ncap</v>
          </cell>
          <cell r="C1040" t="str">
            <v>-</v>
          </cell>
          <cell r="D1040">
            <v>5.5158831164173697E-5</v>
          </cell>
          <cell r="E1040">
            <v>1.23665487383722E-5</v>
          </cell>
          <cell r="F1040">
            <v>1.49201713848045E-5</v>
          </cell>
          <cell r="G1040">
            <v>1.96324156417171E-5</v>
          </cell>
          <cell r="H1040">
            <v>1.02506867910183E-3</v>
          </cell>
          <cell r="I1040">
            <v>5.06001920489503E-5</v>
          </cell>
          <cell r="J1040">
            <v>2.4454668424117397E-4</v>
          </cell>
        </row>
        <row r="1041">
          <cell r="A1041" t="str">
            <v>D-INGA</v>
          </cell>
          <cell r="B1041" t="str">
            <v>VAR_cap</v>
          </cell>
          <cell r="C1041" t="str">
            <v>-</v>
          </cell>
          <cell r="D1041">
            <v>1.9845385290972641</v>
          </cell>
          <cell r="E1041">
            <v>1.9845508956460025</v>
          </cell>
          <cell r="F1041">
            <v>1.9845658158173873</v>
          </cell>
          <cell r="G1041">
            <v>1.984585448233029</v>
          </cell>
          <cell r="H1041">
            <v>1.985610516912131</v>
          </cell>
          <cell r="I1041">
            <v>1.9856611171041798</v>
          </cell>
          <cell r="J1041">
            <v>1.0968817309682408</v>
          </cell>
        </row>
        <row r="1042">
          <cell r="A1042" t="str">
            <v>RHEM-SHNGAHP</v>
          </cell>
          <cell r="B1042" t="str">
            <v>VAR_fout</v>
          </cell>
          <cell r="C1042" t="str">
            <v>CO2_R</v>
          </cell>
          <cell r="F1042">
            <v>72.532974401258997</v>
          </cell>
          <cell r="G1042">
            <v>199.74461179469799</v>
          </cell>
          <cell r="H1042">
            <v>243.077089247104</v>
          </cell>
          <cell r="I1042">
            <v>292.38629029008302</v>
          </cell>
          <cell r="J1042">
            <v>245.76344595453699</v>
          </cell>
        </row>
        <row r="1043">
          <cell r="A1043" t="str">
            <v>RHEM-SHNGAHP</v>
          </cell>
          <cell r="B1043" t="str">
            <v>VAR_fout</v>
          </cell>
          <cell r="C1043" t="str">
            <v>RHEM-SHANGAH</v>
          </cell>
          <cell r="F1043">
            <v>2.4340137662972512</v>
          </cell>
          <cell r="G1043">
            <v>6.9470085072484444</v>
          </cell>
          <cell r="H1043">
            <v>8.5404996510300286</v>
          </cell>
          <cell r="I1043">
            <v>10.405280190906163</v>
          </cell>
          <cell r="J1043">
            <v>9.2194013628269289</v>
          </cell>
        </row>
        <row r="1044">
          <cell r="A1044" t="str">
            <v>RHEM-SHNGAHP</v>
          </cell>
          <cell r="B1044" t="str">
            <v>VAR_fin</v>
          </cell>
          <cell r="C1044" t="str">
            <v>RHEMELCHPC</v>
          </cell>
          <cell r="F1044">
            <v>2.4340137662972512</v>
          </cell>
          <cell r="G1044">
            <v>6.9470085072484444</v>
          </cell>
          <cell r="H1044">
            <v>8.5404996510300286</v>
          </cell>
          <cell r="I1044">
            <v>10.405280190906163</v>
          </cell>
          <cell r="J1044">
            <v>9.2194013628269289</v>
          </cell>
        </row>
        <row r="1045">
          <cell r="A1045" t="str">
            <v>RHEM-SHNGAHP</v>
          </cell>
          <cell r="B1045" t="str">
            <v>VAR_fin</v>
          </cell>
          <cell r="C1045" t="str">
            <v>RNGA</v>
          </cell>
          <cell r="F1045">
            <v>1.286045645412393</v>
          </cell>
          <cell r="G1045">
            <v>3.5415711311116596</v>
          </cell>
          <cell r="H1045">
            <v>4.309877468920285</v>
          </cell>
          <cell r="I1045">
            <v>5.1841540831574919</v>
          </cell>
          <cell r="J1045">
            <v>4.357507906995334</v>
          </cell>
        </row>
        <row r="1046">
          <cell r="A1046" t="str">
            <v>RHEM-SHNGAHP</v>
          </cell>
          <cell r="B1046" t="str">
            <v>VAR_ncap</v>
          </cell>
          <cell r="C1046" t="str">
            <v>-</v>
          </cell>
          <cell r="D1046">
            <v>2.01254224972051E-6</v>
          </cell>
          <cell r="E1046">
            <v>5.07859927937708E-6</v>
          </cell>
          <cell r="F1046">
            <v>0.17242977501937701</v>
          </cell>
          <cell r="G1046">
            <v>0.31839618680738102</v>
          </cell>
          <cell r="H1046">
            <v>0.112887272782165</v>
          </cell>
          <cell r="I1046">
            <v>0.37607803084108998</v>
          </cell>
          <cell r="J1046">
            <v>0.331782854618137</v>
          </cell>
        </row>
        <row r="1047">
          <cell r="A1047" t="str">
            <v>RHEM-SHNGAHP</v>
          </cell>
          <cell r="B1047" t="str">
            <v>VAR_cap</v>
          </cell>
          <cell r="C1047" t="str">
            <v>-</v>
          </cell>
          <cell r="D1047">
            <v>2.01254224972051E-6</v>
          </cell>
          <cell r="E1047">
            <v>-3.9043745212959902E-8</v>
          </cell>
          <cell r="F1047">
            <v>0.17243103341843638</v>
          </cell>
          <cell r="G1047">
            <v>0.49082735479581907</v>
          </cell>
          <cell r="H1047">
            <v>0.60370364054281933</v>
          </cell>
          <cell r="I1047">
            <v>0.73695878010314408</v>
          </cell>
          <cell r="J1047">
            <v>0.65246254415508276</v>
          </cell>
        </row>
        <row r="1048">
          <cell r="A1048" t="str">
            <v>D-SPLT</v>
          </cell>
          <cell r="B1048" t="str">
            <v>VAR_fout</v>
          </cell>
          <cell r="C1048" t="str">
            <v>SPLT</v>
          </cell>
          <cell r="D1048">
            <v>2.085722942349133</v>
          </cell>
          <cell r="E1048">
            <v>2.4001397450892603</v>
          </cell>
          <cell r="F1048">
            <v>0.55263559063612044</v>
          </cell>
          <cell r="G1048">
            <v>0.71187208479320641</v>
          </cell>
          <cell r="H1048">
            <v>0.82403515484801937</v>
          </cell>
          <cell r="I1048">
            <v>1.0493339945128586</v>
          </cell>
          <cell r="J1048">
            <v>1.0770210024951972</v>
          </cell>
        </row>
        <row r="1049">
          <cell r="A1049" t="str">
            <v>D-SPLT</v>
          </cell>
          <cell r="B1049" t="str">
            <v>VAR_fin</v>
          </cell>
          <cell r="C1049" t="str">
            <v>PLT</v>
          </cell>
          <cell r="D1049">
            <v>2.085722942349133</v>
          </cell>
          <cell r="E1049">
            <v>2.4001397450892603</v>
          </cell>
          <cell r="F1049">
            <v>0.55263559063612044</v>
          </cell>
          <cell r="G1049">
            <v>0.71187208479320641</v>
          </cell>
          <cell r="H1049">
            <v>0.82403515484801937</v>
          </cell>
          <cell r="I1049">
            <v>1.0493339945128586</v>
          </cell>
          <cell r="J1049">
            <v>1.0770210024951972</v>
          </cell>
        </row>
        <row r="1050">
          <cell r="A1050" t="str">
            <v>RHES-SHCONBR</v>
          </cell>
          <cell r="B1050" t="str">
            <v>VAR_fout</v>
          </cell>
          <cell r="C1050" t="str">
            <v>RHES-SHCON</v>
          </cell>
          <cell r="F1050">
            <v>1.9142660016115559E-3</v>
          </cell>
          <cell r="G1050">
            <v>1.8030903262094512E-3</v>
          </cell>
          <cell r="H1050">
            <v>3.3571484668557081E-3</v>
          </cell>
          <cell r="I1050">
            <v>3.4619227721126977E-3</v>
          </cell>
          <cell r="J1050">
            <v>3.6244184373167361E-3</v>
          </cell>
        </row>
        <row r="1051">
          <cell r="A1051" t="str">
            <v>RHES-SHCONBR</v>
          </cell>
          <cell r="B1051" t="str">
            <v>VAR_fin</v>
          </cell>
          <cell r="C1051" t="str">
            <v>CON</v>
          </cell>
          <cell r="F1051">
            <v>1.9142660016115559E-3</v>
          </cell>
          <cell r="G1051">
            <v>1.8030903262094512E-3</v>
          </cell>
          <cell r="H1051">
            <v>3.3571484668557081E-3</v>
          </cell>
          <cell r="I1051">
            <v>3.4619227721126977E-3</v>
          </cell>
          <cell r="J1051">
            <v>3.6244184373167361E-3</v>
          </cell>
        </row>
        <row r="1052">
          <cell r="A1052" t="str">
            <v>RHES-SHCONBR</v>
          </cell>
          <cell r="B1052" t="str">
            <v>VAR_ncap</v>
          </cell>
          <cell r="C1052" t="str">
            <v>-</v>
          </cell>
          <cell r="E1052">
            <v>8.2668054397054898E-7</v>
          </cell>
          <cell r="F1052">
            <v>1.4512877090720099E-4</v>
          </cell>
          <cell r="G1052">
            <v>1.6951349174488701E-6</v>
          </cell>
          <cell r="H1052">
            <v>1.3169879625478999E-4</v>
          </cell>
          <cell r="I1052">
            <v>6.7029210046686599E-6</v>
          </cell>
          <cell r="J1052">
            <v>4.2541525234997796E-6</v>
          </cell>
        </row>
        <row r="1053">
          <cell r="A1053" t="str">
            <v>RHES-SHCONBR</v>
          </cell>
          <cell r="B1053" t="str">
            <v>VAR_cap</v>
          </cell>
          <cell r="C1053" t="str">
            <v>-</v>
          </cell>
          <cell r="E1053">
            <v>8.2668054397054898E-7</v>
          </cell>
          <cell r="F1053">
            <v>1.4554563742370994E-4</v>
          </cell>
          <cell r="G1053">
            <v>1.4676825971996347E-4</v>
          </cell>
          <cell r="H1053">
            <v>2.7779423542035448E-4</v>
          </cell>
          <cell r="I1053">
            <v>2.8409371980521767E-4</v>
          </cell>
          <cell r="J1053">
            <v>2.8940426757152884E-4</v>
          </cell>
        </row>
        <row r="1054">
          <cell r="A1054" t="str">
            <v>RHSA-WHSOLBR</v>
          </cell>
          <cell r="B1054" t="str">
            <v>VAR_fout</v>
          </cell>
          <cell r="C1054" t="str">
            <v>RHSA-WHASOL</v>
          </cell>
          <cell r="D1054">
            <v>1.721488024659851</v>
          </cell>
          <cell r="E1054">
            <v>1.9870786683026969</v>
          </cell>
          <cell r="F1054">
            <v>0.93247128084154562</v>
          </cell>
          <cell r="G1054">
            <v>1.0600215725630913</v>
          </cell>
          <cell r="H1054">
            <v>1.1234027844173262</v>
          </cell>
          <cell r="I1054">
            <v>1.2090892688906547</v>
          </cell>
          <cell r="J1054">
            <v>1.2000308504004487</v>
          </cell>
        </row>
        <row r="1055">
          <cell r="A1055" t="str">
            <v>RHSA-WHSOLBR</v>
          </cell>
          <cell r="B1055" t="str">
            <v>VAR_fin</v>
          </cell>
          <cell r="C1055" t="str">
            <v>SOL</v>
          </cell>
          <cell r="D1055">
            <v>1.721488024659851</v>
          </cell>
          <cell r="E1055">
            <v>1.9870786683026969</v>
          </cell>
          <cell r="F1055">
            <v>0.93247128084154562</v>
          </cell>
          <cell r="G1055">
            <v>1.0600215725630913</v>
          </cell>
          <cell r="H1055">
            <v>1.1234027844173262</v>
          </cell>
          <cell r="I1055">
            <v>1.2090892688906547</v>
          </cell>
          <cell r="J1055">
            <v>1.2000308504004487</v>
          </cell>
        </row>
        <row r="1056">
          <cell r="A1056" t="str">
            <v>RHSA-WHSOLBR</v>
          </cell>
          <cell r="B1056" t="str">
            <v>VAR_fin</v>
          </cell>
          <cell r="C1056" t="str">
            <v>RHSASOLBRC</v>
          </cell>
          <cell r="D1056">
            <v>1.721488024659851</v>
          </cell>
          <cell r="E1056">
            <v>1.9870786683026969</v>
          </cell>
          <cell r="F1056">
            <v>0.93247128084154562</v>
          </cell>
          <cell r="G1056">
            <v>1.0600215725630913</v>
          </cell>
          <cell r="H1056">
            <v>1.1234027844173262</v>
          </cell>
          <cell r="I1056">
            <v>1.2090892688906547</v>
          </cell>
          <cell r="J1056">
            <v>1.2000308504004487</v>
          </cell>
        </row>
        <row r="1057">
          <cell r="A1057" t="str">
            <v>RHSA-WHSOLBR</v>
          </cell>
          <cell r="B1057" t="str">
            <v>VAR_ncap</v>
          </cell>
          <cell r="C1057" t="str">
            <v>-</v>
          </cell>
          <cell r="E1057">
            <v>8.2473656069182805E-2</v>
          </cell>
          <cell r="F1057">
            <v>3.2856019171264001E-5</v>
          </cell>
          <cell r="G1057">
            <v>9.2610938849064297E-5</v>
          </cell>
          <cell r="H1057">
            <v>0.13873918679303199</v>
          </cell>
          <cell r="I1057">
            <v>0.13254457866567901</v>
          </cell>
          <cell r="J1057">
            <v>0.10599117255054499</v>
          </cell>
        </row>
        <row r="1058">
          <cell r="A1058" t="str">
            <v>RHSA-WHSOLBR</v>
          </cell>
          <cell r="B1058" t="str">
            <v>VAR_cap</v>
          </cell>
          <cell r="C1058" t="str">
            <v>-</v>
          </cell>
          <cell r="D1058">
            <v>0.25000991745774798</v>
          </cell>
          <cell r="E1058">
            <v>0.33248107919376657</v>
          </cell>
          <cell r="F1058">
            <v>0.33248576007547376</v>
          </cell>
          <cell r="G1058">
            <v>0.33256844857892914</v>
          </cell>
          <cell r="H1058">
            <v>0.24590899419859774</v>
          </cell>
          <cell r="I1058">
            <v>0.27133800344557746</v>
          </cell>
          <cell r="J1058">
            <v>0.26086109786950001</v>
          </cell>
        </row>
        <row r="1059">
          <cell r="A1059" t="str">
            <v>SCOM-SHCONBR</v>
          </cell>
          <cell r="B1059" t="str">
            <v>VAR_ncap</v>
          </cell>
          <cell r="C1059" t="str">
            <v>-</v>
          </cell>
          <cell r="D1059">
            <v>4.3529810261044498E-7</v>
          </cell>
          <cell r="E1059">
            <v>3.9859921072466901E-7</v>
          </cell>
          <cell r="F1059">
            <v>3.8521652776719502E-7</v>
          </cell>
          <cell r="G1059">
            <v>3.8354073673431602E-7</v>
          </cell>
          <cell r="H1059">
            <v>5.1861414172402702E-6</v>
          </cell>
          <cell r="I1059">
            <v>3.3989382414763102E-7</v>
          </cell>
          <cell r="J1059">
            <v>2.4253178700415799E-7</v>
          </cell>
        </row>
        <row r="1060">
          <cell r="A1060" t="str">
            <v>SCOM-SHCONBR</v>
          </cell>
          <cell r="B1060" t="str">
            <v>VAR_cap</v>
          </cell>
          <cell r="C1060" t="str">
            <v>-</v>
          </cell>
          <cell r="D1060">
            <v>4.3529810261044498E-7</v>
          </cell>
          <cell r="E1060">
            <v>3.9998341168279606E-7</v>
          </cell>
          <cell r="F1060">
            <v>3.8571193336491995E-7</v>
          </cell>
          <cell r="G1060">
            <v>3.4912073773483001E-7</v>
          </cell>
          <cell r="H1060">
            <v>6.0098880520409584E-6</v>
          </cell>
          <cell r="I1060">
            <v>6.0013432895436701E-6</v>
          </cell>
          <cell r="J1060">
            <v>6.6298959522232867E-6</v>
          </cell>
        </row>
        <row r="1061">
          <cell r="A1061" t="str">
            <v>RHNM-SHNGABR</v>
          </cell>
          <cell r="B1061" t="str">
            <v>VAR_fout</v>
          </cell>
          <cell r="C1061" t="str">
            <v>CO2_R</v>
          </cell>
          <cell r="E1061">
            <v>43.105513583523802</v>
          </cell>
          <cell r="F1061">
            <v>6.4796293394754301</v>
          </cell>
          <cell r="G1061">
            <v>8.7541363670543895</v>
          </cell>
          <cell r="H1061">
            <v>8.6095068416420499</v>
          </cell>
          <cell r="I1061">
            <v>5.2243672522354903</v>
          </cell>
        </row>
        <row r="1062">
          <cell r="A1062" t="str">
            <v>RHNM-SHNGABR</v>
          </cell>
          <cell r="B1062" t="str">
            <v>VAR_fout</v>
          </cell>
          <cell r="C1062" t="str">
            <v>RHNM-SHNGA</v>
          </cell>
          <cell r="E1062">
            <v>0.72606804794942537</v>
          </cell>
          <cell r="F1062">
            <v>0.11026214172713766</v>
          </cell>
          <cell r="G1062">
            <v>0.14896682730327046</v>
          </cell>
          <cell r="H1062">
            <v>0.14650570485421466</v>
          </cell>
          <cell r="I1062">
            <v>8.8901678201123893E-2</v>
          </cell>
        </row>
        <row r="1063">
          <cell r="A1063" t="str">
            <v>RHNM-SHNGABR</v>
          </cell>
          <cell r="B1063" t="str">
            <v>VAR_fin</v>
          </cell>
          <cell r="C1063" t="str">
            <v>RNGA</v>
          </cell>
          <cell r="E1063">
            <v>0.76428215573623715</v>
          </cell>
          <cell r="F1063">
            <v>0.11488704502616016</v>
          </cell>
          <cell r="G1063">
            <v>0.15521518381302107</v>
          </cell>
          <cell r="H1063">
            <v>0.15265083052556816</v>
          </cell>
          <cell r="I1063">
            <v>9.2630625039636275E-2</v>
          </cell>
        </row>
        <row r="1064">
          <cell r="A1064" t="str">
            <v>RHNM-SHNGABR</v>
          </cell>
          <cell r="B1064" t="str">
            <v>VAR_ncap</v>
          </cell>
          <cell r="C1064" t="str">
            <v>-</v>
          </cell>
          <cell r="E1064">
            <v>5.7437723501045798E-2</v>
          </cell>
          <cell r="F1064">
            <v>4.2726132922030401E-5</v>
          </cell>
          <cell r="G1064">
            <v>5.4632024719936901E-5</v>
          </cell>
          <cell r="H1064">
            <v>1.16776996127461E-3</v>
          </cell>
          <cell r="I1064">
            <v>7.2643511067644103E-3</v>
          </cell>
          <cell r="J1064">
            <v>6.6906263580169001E-6</v>
          </cell>
        </row>
        <row r="1065">
          <cell r="A1065" t="str">
            <v>RHNM-SHNGABR</v>
          </cell>
          <cell r="B1065" t="str">
            <v>VAR_cap</v>
          </cell>
          <cell r="C1065" t="str">
            <v>-</v>
          </cell>
          <cell r="E1065">
            <v>5.7437723501045798E-2</v>
          </cell>
          <cell r="F1065">
            <v>5.6619402223148041E-2</v>
          </cell>
          <cell r="G1065">
            <v>5.467175918879582E-2</v>
          </cell>
          <cell r="H1065">
            <v>2.9093236684883918E-2</v>
          </cell>
          <cell r="I1065">
            <v>8.461123640022725E-3</v>
          </cell>
          <cell r="J1065">
            <v>2.3670914720284961E-4</v>
          </cell>
        </row>
        <row r="1066">
          <cell r="A1066" t="str">
            <v>RHES-SHSOLBR</v>
          </cell>
          <cell r="B1066" t="str">
            <v>VAR_fout</v>
          </cell>
          <cell r="C1066" t="str">
            <v>RHES-SHASOL</v>
          </cell>
          <cell r="D1066">
            <v>0.37732610756439694</v>
          </cell>
          <cell r="E1066">
            <v>0.43564756190053988</v>
          </cell>
          <cell r="F1066">
            <v>2.181168448208828E-2</v>
          </cell>
          <cell r="G1066">
            <v>2.3031003078551233E-2</v>
          </cell>
          <cell r="H1066">
            <v>2.2632223644102761E-2</v>
          </cell>
          <cell r="I1066">
            <v>2.1946613908146922E-2</v>
          </cell>
          <cell r="J1066">
            <v>1.9804417961922199E-2</v>
          </cell>
        </row>
        <row r="1067">
          <cell r="A1067" t="str">
            <v>RHES-SHSOLBR</v>
          </cell>
          <cell r="B1067" t="str">
            <v>VAR_fin</v>
          </cell>
          <cell r="C1067" t="str">
            <v>SOL</v>
          </cell>
          <cell r="D1067">
            <v>0.37732610756439694</v>
          </cell>
          <cell r="E1067">
            <v>0.43564756190053988</v>
          </cell>
          <cell r="F1067">
            <v>2.181168448208828E-2</v>
          </cell>
          <cell r="G1067">
            <v>2.3031003078551233E-2</v>
          </cell>
          <cell r="H1067">
            <v>2.2632223644102761E-2</v>
          </cell>
          <cell r="I1067">
            <v>2.1946613908146922E-2</v>
          </cell>
          <cell r="J1067">
            <v>1.9804417961922199E-2</v>
          </cell>
        </row>
        <row r="1068">
          <cell r="A1068" t="str">
            <v>RHES-SHSOLBR</v>
          </cell>
          <cell r="B1068" t="str">
            <v>VAR_ncap</v>
          </cell>
          <cell r="C1068" t="str">
            <v>-</v>
          </cell>
          <cell r="E1068">
            <v>8.8577324671688992E-3</v>
          </cell>
          <cell r="F1068">
            <v>1.1424961594622501E-5</v>
          </cell>
          <cell r="G1068">
            <v>2.1198676234191002E-5</v>
          </cell>
          <cell r="H1068">
            <v>7.6409902250717003E-5</v>
          </cell>
          <cell r="I1068">
            <v>4.29004497169238E-3</v>
          </cell>
          <cell r="J1068">
            <v>5.47163808782737E-4</v>
          </cell>
        </row>
        <row r="1069">
          <cell r="A1069" t="str">
            <v>RHES-SHSOLBR</v>
          </cell>
          <cell r="B1069" t="str">
            <v>VAR_cap</v>
          </cell>
          <cell r="C1069" t="str">
            <v>-</v>
          </cell>
          <cell r="D1069">
            <v>5.4798678617278197E-2</v>
          </cell>
          <cell r="E1069">
            <v>6.3655123426944002E-2</v>
          </cell>
          <cell r="F1069">
            <v>6.3636833922505104E-2</v>
          </cell>
          <cell r="G1069">
            <v>6.3648224821907212E-2</v>
          </cell>
          <cell r="H1069">
            <v>1.874782677093861E-2</v>
          </cell>
          <cell r="I1069">
            <v>4.3757195088774516E-3</v>
          </cell>
          <cell r="J1069">
            <v>3.689141169334771E-3</v>
          </cell>
        </row>
        <row r="1070">
          <cell r="A1070" t="str">
            <v>SCOM-SHSOLBR</v>
          </cell>
          <cell r="B1070" t="str">
            <v>VAR_fout</v>
          </cell>
          <cell r="C1070" t="str">
            <v>SCOM-SHASOL</v>
          </cell>
          <cell r="D1070">
            <v>0.62710016377056388</v>
          </cell>
          <cell r="E1070">
            <v>0.68752506511414369</v>
          </cell>
          <cell r="F1070">
            <v>0.55479707708111603</v>
          </cell>
          <cell r="G1070">
            <v>0.60815181420141473</v>
          </cell>
          <cell r="H1070">
            <v>0.66058573889387395</v>
          </cell>
          <cell r="I1070">
            <v>0.73654652882347915</v>
          </cell>
          <cell r="J1070">
            <v>0.77783246923295146</v>
          </cell>
        </row>
        <row r="1071">
          <cell r="A1071" t="str">
            <v>SCOM-SHSOLBR</v>
          </cell>
          <cell r="B1071" t="str">
            <v>VAR_fin</v>
          </cell>
          <cell r="C1071" t="str">
            <v>SOL</v>
          </cell>
          <cell r="D1071">
            <v>0.62710016377056388</v>
          </cell>
          <cell r="E1071">
            <v>0.68752506511414369</v>
          </cell>
          <cell r="F1071">
            <v>0.55479707708111603</v>
          </cell>
          <cell r="G1071">
            <v>0.60815181420141473</v>
          </cell>
          <cell r="H1071">
            <v>0.66058573889387395</v>
          </cell>
          <cell r="I1071">
            <v>0.73654652882347915</v>
          </cell>
          <cell r="J1071">
            <v>0.77783246923295146</v>
          </cell>
        </row>
        <row r="1072">
          <cell r="A1072" t="str">
            <v>SCOM-SHSOLBR</v>
          </cell>
          <cell r="B1072" t="str">
            <v>VAR_ncap</v>
          </cell>
          <cell r="C1072" t="str">
            <v>-</v>
          </cell>
          <cell r="D1072">
            <v>1.5935382007979001E-4</v>
          </cell>
          <cell r="E1072">
            <v>9.39963759144718E-3</v>
          </cell>
          <cell r="F1072">
            <v>4.34628502715629E-5</v>
          </cell>
          <cell r="G1072">
            <v>8.9556565707593706E-5</v>
          </cell>
          <cell r="H1072">
            <v>6.9307175960674094E-2</v>
          </cell>
          <cell r="I1072">
            <v>4.5340519804297097E-2</v>
          </cell>
          <cell r="J1072">
            <v>6.4322264151693995E-2</v>
          </cell>
        </row>
        <row r="1073">
          <cell r="A1073" t="str">
            <v>SCOM-SHSOLBR</v>
          </cell>
          <cell r="B1073" t="str">
            <v>VAR_cap</v>
          </cell>
          <cell r="C1073" t="str">
            <v>-</v>
          </cell>
          <cell r="D1073">
            <v>9.1216947296159298E-2</v>
          </cell>
          <cell r="E1073">
            <v>0.10061431455423141</v>
          </cell>
          <cell r="F1073">
            <v>0.10063721711131521</v>
          </cell>
          <cell r="G1073">
            <v>0.10071645995903808</v>
          </cell>
          <cell r="H1073">
            <v>9.7876502091108583E-2</v>
          </cell>
          <cell r="I1073">
            <v>0.11470307687506973</v>
          </cell>
          <cell r="J1073">
            <v>0.12653623644960343</v>
          </cell>
        </row>
        <row r="1074">
          <cell r="A1074" t="str">
            <v>RHEM-SHSTG-ELCHP</v>
          </cell>
          <cell r="B1074" t="str">
            <v>VAR_fout</v>
          </cell>
          <cell r="C1074" t="str">
            <v>RHEM-SHAELCH</v>
          </cell>
          <cell r="D1074">
            <v>1.2880022670492326</v>
          </cell>
          <cell r="E1074">
            <v>1.4818519823238268</v>
          </cell>
          <cell r="F1074">
            <v>1.7646283835700229</v>
          </cell>
          <cell r="G1074">
            <v>2.3578381454904473</v>
          </cell>
          <cell r="H1074">
            <v>2.4682073204936863</v>
          </cell>
          <cell r="I1074">
            <v>3.2490914488001561</v>
          </cell>
          <cell r="J1074">
            <v>3.3537380349424848</v>
          </cell>
        </row>
        <row r="1075">
          <cell r="A1075" t="str">
            <v>RHEM-SHSTG-ELCHP</v>
          </cell>
          <cell r="B1075" t="str">
            <v>VAR_fout</v>
          </cell>
          <cell r="C1075" t="str">
            <v>AUX_RHEM-SHSTG-ELCHP_OUT</v>
          </cell>
          <cell r="D1075">
            <v>1.2892902693162815</v>
          </cell>
          <cell r="E1075">
            <v>1.4833338343061508</v>
          </cell>
          <cell r="F1075">
            <v>1.7663930119535942</v>
          </cell>
          <cell r="G1075">
            <v>2.3601959836359385</v>
          </cell>
          <cell r="H1075">
            <v>2.4706755278141794</v>
          </cell>
          <cell r="I1075">
            <v>3.2523405402489565</v>
          </cell>
          <cell r="J1075">
            <v>3.3570917729774279</v>
          </cell>
        </row>
        <row r="1076">
          <cell r="A1076" t="str">
            <v>RHEM-SHSTG-ELCHP</v>
          </cell>
          <cell r="B1076" t="str">
            <v>VAR_fin</v>
          </cell>
          <cell r="C1076" t="str">
            <v>RHEM-SHAELCH</v>
          </cell>
          <cell r="D1076">
            <v>1.2884374087664918</v>
          </cell>
          <cell r="E1076">
            <v>1.4819971356358193</v>
          </cell>
          <cell r="F1076">
            <v>1.7646716954602264</v>
          </cell>
          <cell r="G1076">
            <v>2.357940330076814</v>
          </cell>
          <cell r="H1076">
            <v>2.4683231007264648</v>
          </cell>
          <cell r="I1076">
            <v>3.2492027761880538</v>
          </cell>
          <cell r="J1076">
            <v>3.3538557802454076</v>
          </cell>
        </row>
        <row r="1077">
          <cell r="A1077" t="str">
            <v>RHEM-SHSTG-ELCHP</v>
          </cell>
          <cell r="B1077" t="str">
            <v>VAR_ncap</v>
          </cell>
          <cell r="C1077" t="str">
            <v>-</v>
          </cell>
          <cell r="D1077">
            <v>0.195999925268592</v>
          </cell>
          <cell r="E1077">
            <v>1.3092067514591499E-3</v>
          </cell>
          <cell r="F1077">
            <v>1.17747348306808E-3</v>
          </cell>
          <cell r="G1077">
            <v>5.4982906883684797E-2</v>
          </cell>
          <cell r="H1077">
            <v>0.19871855178313799</v>
          </cell>
          <cell r="I1077">
            <v>0.13395861238211601</v>
          </cell>
          <cell r="J1077">
            <v>0.18837397265037001</v>
          </cell>
        </row>
        <row r="1078">
          <cell r="A1078" t="str">
            <v>RHEM-SHSTG-ELCHP</v>
          </cell>
          <cell r="B1078" t="str">
            <v>VAR_cap</v>
          </cell>
          <cell r="C1078" t="str">
            <v>-</v>
          </cell>
          <cell r="D1078">
            <v>0.195999925268592</v>
          </cell>
          <cell r="E1078">
            <v>0.19365108801179354</v>
          </cell>
          <cell r="F1078">
            <v>0.19363719395785642</v>
          </cell>
          <cell r="G1078">
            <v>0.24815761498767785</v>
          </cell>
          <cell r="H1078">
            <v>0.30167299082896376</v>
          </cell>
          <cell r="I1078">
            <v>0.36918559663457773</v>
          </cell>
          <cell r="J1078">
            <v>0.36853114635527162</v>
          </cell>
        </row>
        <row r="1079">
          <cell r="A1079" t="str">
            <v>ITOT-SWHELCBR</v>
          </cell>
          <cell r="B1079" t="str">
            <v>VAR_fout</v>
          </cell>
          <cell r="C1079" t="str">
            <v>ITOT-SWHAELC</v>
          </cell>
          <cell r="D1079">
            <v>9.8141619496138333</v>
          </cell>
          <cell r="E1079">
            <v>10.335130020858854</v>
          </cell>
          <cell r="F1079">
            <v>10.597154447882525</v>
          </cell>
          <cell r="G1079">
            <v>13.317086969426741</v>
          </cell>
          <cell r="H1079">
            <v>13.317076471097238</v>
          </cell>
          <cell r="I1079">
            <v>13.317061571614225</v>
          </cell>
          <cell r="J1079">
            <v>13.317060267374348</v>
          </cell>
        </row>
        <row r="1080">
          <cell r="A1080" t="str">
            <v>ITOT-SWHELCBR</v>
          </cell>
          <cell r="B1080" t="str">
            <v>VAR_fin</v>
          </cell>
          <cell r="C1080" t="str">
            <v>ITOT_ELC</v>
          </cell>
          <cell r="D1080">
            <v>11.647261143137959</v>
          </cell>
          <cell r="E1080">
            <v>12.259033789444954</v>
          </cell>
          <cell r="F1080">
            <v>12.559846957037371</v>
          </cell>
          <cell r="G1080">
            <v>15.762662326249723</v>
          </cell>
          <cell r="H1080">
            <v>15.741830861950394</v>
          </cell>
          <cell r="I1080">
            <v>15.721049157102904</v>
          </cell>
          <cell r="J1080">
            <v>15.679683336216792</v>
          </cell>
        </row>
        <row r="1081">
          <cell r="A1081" t="str">
            <v>ITOT-SWHELCBR</v>
          </cell>
          <cell r="B1081" t="str">
            <v>VAR_ncap</v>
          </cell>
          <cell r="C1081" t="str">
            <v>-</v>
          </cell>
          <cell r="E1081">
            <v>0.195937581071362</v>
          </cell>
          <cell r="F1081">
            <v>1.4658584998031E-2</v>
          </cell>
          <cell r="G1081">
            <v>0.258033237202895</v>
          </cell>
          <cell r="H1081">
            <v>0.60549366148251105</v>
          </cell>
          <cell r="I1081">
            <v>0.28744338578177597</v>
          </cell>
          <cell r="J1081">
            <v>0.646804517586408</v>
          </cell>
        </row>
        <row r="1082">
          <cell r="A1082" t="str">
            <v>ITOT-SWHELCBR</v>
          </cell>
          <cell r="B1082" t="str">
            <v>VAR_cap</v>
          </cell>
          <cell r="C1082" t="str">
            <v>-</v>
          </cell>
          <cell r="D1082">
            <v>0.55644997413134401</v>
          </cell>
          <cell r="E1082">
            <v>0.75228738902036107</v>
          </cell>
          <cell r="F1082">
            <v>0.76673073157571625</v>
          </cell>
          <cell r="G1082">
            <v>1.0242666083314971</v>
          </cell>
          <cell r="H1082">
            <v>1.1213503201232524</v>
          </cell>
          <cell r="I1082">
            <v>1.0709697990591704</v>
          </cell>
          <cell r="J1082">
            <v>1.1112193367177079</v>
          </cell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370.9749982797789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370.9749982797789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3.87245424420408E-2</v>
          </cell>
          <cell r="G23">
            <v>4.8029370718954896</v>
          </cell>
          <cell r="H23">
            <v>7.4021868884676696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5.5655621895826801</v>
          </cell>
          <cell r="H24">
            <v>15.320211118881801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20.847900448093199</v>
          </cell>
          <cell r="F25">
            <v>2.0141281347758002</v>
          </cell>
          <cell r="G25">
            <v>5.3388726385875902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1127.97272019907</v>
          </cell>
          <cell r="F26">
            <v>1120.96952212052</v>
          </cell>
          <cell r="G26">
            <v>1260.6116011224699</v>
          </cell>
          <cell r="H26">
            <v>909.76400001043805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30.4938763336528</v>
          </cell>
          <cell r="H27">
            <v>80.137987802175402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1928.7243838209699</v>
          </cell>
          <cell r="F28">
            <v>1537.4272806643</v>
          </cell>
          <cell r="G28">
            <v>1741.6949708731299</v>
          </cell>
          <cell r="H28">
            <v>900.20132426777104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70.247804467185105</v>
          </cell>
          <cell r="H29">
            <v>163.46964728901401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6.0708568208921001</v>
          </cell>
          <cell r="G30">
            <v>2.37046534435351</v>
          </cell>
          <cell r="H30">
            <v>5.1279269403334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7.7465635740704003E-2</v>
          </cell>
          <cell r="G31">
            <v>1.59394189712735</v>
          </cell>
          <cell r="H31">
            <v>3.8875001872251098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1.08008994916944</v>
          </cell>
          <cell r="G32">
            <v>5.1095686072255697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7.8353906385904102</v>
          </cell>
          <cell r="H33">
            <v>19.908045329006899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1043.1446976712</v>
          </cell>
          <cell r="F34">
            <v>1155.2875816594701</v>
          </cell>
          <cell r="G34">
            <v>643.24748411699602</v>
          </cell>
          <cell r="H34">
            <v>452.82401288682797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479.81944668575801</v>
          </cell>
          <cell r="F35">
            <v>391.63095827753</v>
          </cell>
          <cell r="G35">
            <v>555.54102999001702</v>
          </cell>
          <cell r="H35">
            <v>350.29291512057102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726.729998070021</v>
          </cell>
          <cell r="F36">
            <v>603.81232171432998</v>
          </cell>
          <cell r="G36">
            <v>658.22139672475805</v>
          </cell>
          <cell r="H36">
            <v>290.89892708687398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1783.67686066532</v>
          </cell>
          <cell r="F37">
            <v>1640.9746237633001</v>
          </cell>
          <cell r="G37">
            <v>1237.9224606564801</v>
          </cell>
          <cell r="H37">
            <v>591.29789336870397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0.693017293254791</v>
          </cell>
          <cell r="G38">
            <v>3.7135303848319898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23.080205764433298</v>
          </cell>
          <cell r="F39">
            <v>2.3539809106699998</v>
          </cell>
          <cell r="G39">
            <v>7.79838475670996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9.2728601039877496</v>
          </cell>
          <cell r="F40">
            <v>9.2711067197275501</v>
          </cell>
          <cell r="G40">
            <v>2.5001913696749498</v>
          </cell>
          <cell r="H40">
            <v>2.2053707618221001E-2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72.532974401258997</v>
          </cell>
          <cell r="H41">
            <v>199.74461179469799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43.105513583523802</v>
          </cell>
          <cell r="G42">
            <v>6.4796293394754301</v>
          </cell>
          <cell r="H42">
            <v>8.7541363670543895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7143.2690734288499</v>
          </cell>
          <cell r="F43">
            <v>6514.8071717896501</v>
          </cell>
          <cell r="G43">
            <v>6323.6220729240003</v>
          </cell>
          <cell r="H43">
            <v>3999.0533801656602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69.718644533660594</v>
          </cell>
          <cell r="H44">
            <v>186.15308141094201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108.99525853243</v>
          </cell>
          <cell r="F45">
            <v>98.260247082389498</v>
          </cell>
          <cell r="G45">
            <v>87.055432645654093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1440.95087646311</v>
          </cell>
          <cell r="F46">
            <v>1508.4890124480301</v>
          </cell>
          <cell r="G46">
            <v>1282.2013583896501</v>
          </cell>
          <cell r="H46">
            <v>948.61851031839103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2229.9172547481699</v>
          </cell>
          <cell r="F47">
            <v>1901.4017817936301</v>
          </cell>
          <cell r="G47">
            <v>1924.62038695047</v>
          </cell>
          <cell r="H47">
            <v>1141.5613924884201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3779.8633897437098</v>
          </cell>
          <cell r="F48">
            <v>3508.1510413240499</v>
          </cell>
          <cell r="G48">
            <v>3363.5958225194299</v>
          </cell>
          <cell r="H48">
            <v>2276.33298421775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1.8024761143534799E-2</v>
          </cell>
          <cell r="F49">
            <v>1.8420303747621301E-2</v>
          </cell>
          <cell r="G49">
            <v>1.85468073786847E-2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3.4042172393417203</v>
          </cell>
          <cell r="F50">
            <v>1.9862194594751681</v>
          </cell>
          <cell r="G50">
            <v>2.4323184082919402</v>
          </cell>
          <cell r="H50">
            <v>2.3666620365021656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2.7958753205819999E-2</v>
          </cell>
          <cell r="F51">
            <v>0.97414012385538096</v>
          </cell>
          <cell r="G51">
            <v>1.1949969839761749</v>
          </cell>
          <cell r="H51">
            <v>3.2128362572512978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5.2580846741960201</v>
          </cell>
          <cell r="F52">
            <v>11.58203171963078</v>
          </cell>
          <cell r="G52">
            <v>11.763821887056718</v>
          </cell>
          <cell r="H52">
            <v>14.104179790402931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5.6604835703303698</v>
          </cell>
          <cell r="F53">
            <v>42.515039072476696</v>
          </cell>
          <cell r="G53">
            <v>114.93592353010041</v>
          </cell>
          <cell r="H53">
            <v>474.20182050413075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9.2477629988184091</v>
          </cell>
          <cell r="F54">
            <v>23.581040548970201</v>
          </cell>
          <cell r="G54">
            <v>25.52430803638148</v>
          </cell>
          <cell r="H54">
            <v>24.801032198685199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15.269850457960199</v>
          </cell>
          <cell r="G55">
            <v>119.2123211919085</v>
          </cell>
          <cell r="H55">
            <v>88.028747222893358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61.376655447472501</v>
          </cell>
          <cell r="F56">
            <v>128.43179679945999</v>
          </cell>
          <cell r="G56">
            <v>40.867610333111102</v>
          </cell>
          <cell r="H56">
            <v>20.040376359342801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814.07834168813599</v>
          </cell>
          <cell r="F57">
            <v>549.03626873974497</v>
          </cell>
          <cell r="G57">
            <v>400.840399473113</v>
          </cell>
          <cell r="H57">
            <v>199.81605967488801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0.20390290081791612</v>
          </cell>
          <cell r="F58">
            <v>0.2316648111686373</v>
          </cell>
          <cell r="G58">
            <v>0.24545930858055431</v>
          </cell>
          <cell r="H58">
            <v>0.16268456404881679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2.876450800608024</v>
          </cell>
          <cell r="F59">
            <v>2.9409652180507839</v>
          </cell>
          <cell r="G59">
            <v>3.0550089185334501</v>
          </cell>
          <cell r="H59">
            <v>0.63165564159765664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322.44588117845615</v>
          </cell>
          <cell r="F60">
            <v>384.94909044842353</v>
          </cell>
          <cell r="G60">
            <v>377.67313175371953</v>
          </cell>
          <cell r="H60">
            <v>158.76415194422739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0.26947804419943011</v>
          </cell>
          <cell r="F61">
            <v>0.33455341521042203</v>
          </cell>
          <cell r="G61">
            <v>0.44261986393296776</v>
          </cell>
          <cell r="H61">
            <v>0.41356033242225088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2.6858962576044787</v>
          </cell>
          <cell r="F62">
            <v>2.7010791647537404</v>
          </cell>
          <cell r="G62">
            <v>2.5950971442430544</v>
          </cell>
          <cell r="H62">
            <v>0.33213292940948486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0.38561874373514399</v>
          </cell>
          <cell r="G63">
            <v>0.7372752700693721</v>
          </cell>
          <cell r="H63">
            <v>1.0290069247189351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0.34762369097276902</v>
          </cell>
          <cell r="G64">
            <v>0.99221408881808804</v>
          </cell>
          <cell r="H64">
            <v>1.3113231216905761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0.31274700323689503</v>
          </cell>
          <cell r="G65">
            <v>0.57160734107352806</v>
          </cell>
          <cell r="H65">
            <v>0.78368327088775902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0.456712635709624</v>
          </cell>
          <cell r="G66">
            <v>1.206169595071573</v>
          </cell>
          <cell r="H66">
            <v>1.439526932217934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0.296411804493034</v>
          </cell>
          <cell r="G67">
            <v>0.76687449452337597</v>
          </cell>
          <cell r="H67">
            <v>0.98678924777243004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0.53808486304684999</v>
          </cell>
          <cell r="G68">
            <v>1.5067854801159162</v>
          </cell>
          <cell r="H68">
            <v>1.7712340731783911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0.37182087476796299</v>
          </cell>
          <cell r="G69">
            <v>0.88750535720073798</v>
          </cell>
          <cell r="H69">
            <v>1.0536645418289581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1.5751141594673099</v>
          </cell>
          <cell r="G70">
            <v>1.906196197373067</v>
          </cell>
          <cell r="H70">
            <v>1.575576605956016E-2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0.29127231288781302</v>
          </cell>
          <cell r="G71">
            <v>0.66316429566392809</v>
          </cell>
          <cell r="H71">
            <v>0.79679900769849099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0.206802213298168</v>
          </cell>
          <cell r="G72">
            <v>0.37488457603200598</v>
          </cell>
          <cell r="H72">
            <v>2.6939995053107957E-2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0.113960591784332</v>
          </cell>
          <cell r="G73">
            <v>0.2083914515819914</v>
          </cell>
          <cell r="H73">
            <v>6.4865680326531505E-2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3.9840710948780299E-2</v>
          </cell>
          <cell r="G74">
            <v>7.6386181334697795E-2</v>
          </cell>
          <cell r="H74">
            <v>3.2740662305095869E-2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1405.0523126144401</v>
          </cell>
          <cell r="F75">
            <v>1141.8993864582501</v>
          </cell>
          <cell r="G75">
            <v>843.91626587571602</v>
          </cell>
          <cell r="H75">
            <v>363.51056458708501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51.446553118282601</v>
          </cell>
          <cell r="G76">
            <v>4.4320537282748704</v>
          </cell>
          <cell r="H76">
            <v>4.3985889618587404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3.2670351869359369</v>
          </cell>
          <cell r="F77">
            <v>3.7891440337412492</v>
          </cell>
          <cell r="G77">
            <v>15.285327259128964</v>
          </cell>
          <cell r="H77">
            <v>34.050471758626351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1274.03475118443</v>
          </cell>
          <cell r="G78">
            <v>1246.0301606927001</v>
          </cell>
          <cell r="H78">
            <v>974.60878457224806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4.5354458074094932</v>
          </cell>
          <cell r="F79">
            <v>8.2237044535167723</v>
          </cell>
          <cell r="G79">
            <v>7.8303268598205058</v>
          </cell>
          <cell r="H79">
            <v>6.139456060877249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4.6545948678413342</v>
          </cell>
          <cell r="F80">
            <v>2.792859903781475</v>
          </cell>
          <cell r="G80">
            <v>2.9425022339760201</v>
          </cell>
          <cell r="H80">
            <v>2.8273326092135136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4722.2922433225003</v>
          </cell>
          <cell r="F81">
            <v>3936.6197371253902</v>
          </cell>
          <cell r="G81">
            <v>3142.65624055642</v>
          </cell>
          <cell r="H81">
            <v>967.89240731566997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3.0645906158321168</v>
          </cell>
          <cell r="F82">
            <v>2.4163859788710123</v>
          </cell>
          <cell r="G82">
            <v>2.5641590884102534</v>
          </cell>
          <cell r="H82">
            <v>2.4359988842438791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4168.0090186930302</v>
          </cell>
          <cell r="F83">
            <v>3569.7839899390901</v>
          </cell>
          <cell r="G83">
            <v>2519.1008492471201</v>
          </cell>
          <cell r="H83">
            <v>1108.66067808456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110.95518214881901</v>
          </cell>
          <cell r="F84">
            <v>103.272240835547</v>
          </cell>
          <cell r="G84">
            <v>70.184337389865803</v>
          </cell>
          <cell r="H84">
            <v>33.234076652798102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1.393826297542462</v>
          </cell>
          <cell r="F85">
            <v>1.5110679938616918</v>
          </cell>
          <cell r="G85">
            <v>1.9063093946908405</v>
          </cell>
          <cell r="H85">
            <v>0.25595120939034577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0.110787386585197</v>
          </cell>
          <cell r="G86">
            <v>0.2208265556992727</v>
          </cell>
          <cell r="H86">
            <v>1.124604458097174E-2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8.1218587168048098E-2</v>
          </cell>
          <cell r="G87">
            <v>0.21893952163029862</v>
          </cell>
          <cell r="H87">
            <v>1.5961794898882359E-2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5.8860143580549584E-2</v>
          </cell>
          <cell r="F88">
            <v>8.1895375189181507</v>
          </cell>
          <cell r="G88">
            <v>19.044907668835005</v>
          </cell>
          <cell r="H88">
            <v>1.0091964542891921E-2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7.05283275325298E-2</v>
          </cell>
          <cell r="G89">
            <v>0.20012715306198181</v>
          </cell>
          <cell r="H89">
            <v>1.5121312599620899E-2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7.4807299944246504</v>
          </cell>
          <cell r="F90">
            <v>8.2095989869952213</v>
          </cell>
          <cell r="G90">
            <v>11.932413284119193</v>
          </cell>
          <cell r="H90">
            <v>6.7367896056592644E-2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2.6729202998897701E-2</v>
          </cell>
          <cell r="G91">
            <v>7.0659600606572698E-2</v>
          </cell>
          <cell r="H91">
            <v>2.2357174850516089E-2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45.299253093273492</v>
          </cell>
          <cell r="F92">
            <v>63.898668878553835</v>
          </cell>
          <cell r="G92">
            <v>110.46359536645299</v>
          </cell>
          <cell r="H92">
            <v>9.04404350153203E-2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1.1318876772878821</v>
          </cell>
          <cell r="F93">
            <v>0.2884424084069413</v>
          </cell>
          <cell r="G93">
            <v>0.49084327192584087</v>
          </cell>
          <cell r="H93">
            <v>7.591504480191559E-2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1.00679151797333E-2</v>
          </cell>
          <cell r="F94">
            <v>9.1708866803655795E-3</v>
          </cell>
          <cell r="G94">
            <v>8.9167855403469599E-3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1.26981517733958</v>
          </cell>
          <cell r="F95">
            <v>1.2687951942556699</v>
          </cell>
          <cell r="G95">
            <v>1.26114876922759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92.556053785637005</v>
          </cell>
          <cell r="F96">
            <v>91.725909116649802</v>
          </cell>
          <cell r="G96">
            <v>68.259732407313805</v>
          </cell>
          <cell r="H96">
            <v>32.3939979993592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26.12483910510224</v>
          </cell>
          <cell r="F98">
            <v>43.791252335697102</v>
          </cell>
          <cell r="G98">
            <v>98.429377925854851</v>
          </cell>
          <cell r="H98">
            <v>83.69578791211805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22.947561675901468</v>
          </cell>
          <cell r="F99">
            <v>54.943244819941455</v>
          </cell>
          <cell r="G99">
            <v>72.137473187449928</v>
          </cell>
          <cell r="H99">
            <v>111.1980541716658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252.8305676103414</v>
          </cell>
          <cell r="F100">
            <v>392.53532249593826</v>
          </cell>
          <cell r="G100">
            <v>437.96411115372973</v>
          </cell>
          <cell r="H100">
            <v>349.71177961065416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0.37483022668619692</v>
          </cell>
          <cell r="F101">
            <v>1.3725502317487452</v>
          </cell>
          <cell r="G101">
            <v>1.5237323505547193</v>
          </cell>
          <cell r="H101">
            <v>1.5185178970417148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265.53418536709137</v>
          </cell>
          <cell r="F102">
            <v>425.34222282605191</v>
          </cell>
          <cell r="G102">
            <v>432.73280030182559</v>
          </cell>
          <cell r="H102">
            <v>350.21597632863876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68.57667661432356</v>
          </cell>
          <cell r="F103">
            <v>94.455242867457784</v>
          </cell>
          <cell r="G103">
            <v>80.465530030476941</v>
          </cell>
          <cell r="H103">
            <v>62.550269311174603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237.89810636298449</v>
          </cell>
          <cell r="F104">
            <v>388.71624874622523</v>
          </cell>
          <cell r="G104">
            <v>746.18548330442559</v>
          </cell>
          <cell r="H104">
            <v>623.71040915035371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295.21853723086258</v>
          </cell>
          <cell r="F105">
            <v>390.78809297073803</v>
          </cell>
          <cell r="G105">
            <v>387.22916076918648</v>
          </cell>
          <cell r="H105">
            <v>296.07135886289245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141.43646494174243</v>
          </cell>
          <cell r="F106">
            <v>162.01677293865094</v>
          </cell>
          <cell r="G106">
            <v>158.49246882834788</v>
          </cell>
          <cell r="H106">
            <v>113.20084392673149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5.88847323054725</v>
          </cell>
          <cell r="F107">
            <v>1.8838523326667</v>
          </cell>
          <cell r="G107">
            <v>3.8802355617351298</v>
          </cell>
          <cell r="H107">
            <v>4.7829386770683401E-2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3.1055704091171799</v>
          </cell>
          <cell r="G108">
            <v>3.726566416103851</v>
          </cell>
          <cell r="H108">
            <v>7.8315909230899892E-3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0.20753431178179499</v>
          </cell>
          <cell r="G109">
            <v>0.45230932635329602</v>
          </cell>
          <cell r="H109">
            <v>1.414863422235894E-2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0.38496293837481399</v>
          </cell>
          <cell r="G110">
            <v>0.65407807934547002</v>
          </cell>
          <cell r="H110">
            <v>3.7328529399021801E-2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2.5507105651720612</v>
          </cell>
          <cell r="F111">
            <v>5.0553019093407485</v>
          </cell>
          <cell r="G111">
            <v>3.9607967592563544</v>
          </cell>
          <cell r="H111">
            <v>3.7180504720302556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3.2601310840496202E-2</v>
          </cell>
          <cell r="G112">
            <v>6.6536969565303097E-2</v>
          </cell>
          <cell r="H112">
            <v>3.0146236350770218E-2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29.026716115673601</v>
          </cell>
          <cell r="F113">
            <v>20.483210323469301</v>
          </cell>
          <cell r="G113">
            <v>0.85506496382361696</v>
          </cell>
          <cell r="H113">
            <v>0.36886879476187701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7.8758017260258635</v>
          </cell>
          <cell r="F114">
            <v>19.319706839918503</v>
          </cell>
          <cell r="G114">
            <v>67.02440692353872</v>
          </cell>
          <cell r="H114">
            <v>58.411773174246413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4.2154000266483001E-3</v>
          </cell>
          <cell r="F115">
            <v>8.2744164300961209</v>
          </cell>
          <cell r="G115">
            <v>5.8854333316666994</v>
          </cell>
          <cell r="H115">
            <v>5.0410692915509312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5.7849252459188012</v>
          </cell>
          <cell r="F116">
            <v>82.522951586854902</v>
          </cell>
          <cell r="G116">
            <v>78.447837244217652</v>
          </cell>
          <cell r="H116">
            <v>63.079183031480177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0.19512465421411845</v>
          </cell>
          <cell r="F117">
            <v>39.946027433318356</v>
          </cell>
          <cell r="G117">
            <v>94.579730406588453</v>
          </cell>
          <cell r="H117">
            <v>80.581238116321757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4.9511879048838736</v>
          </cell>
          <cell r="F118">
            <v>10.765871482885698</v>
          </cell>
          <cell r="G118">
            <v>10.659353892153838</v>
          </cell>
          <cell r="H118">
            <v>9.2609936373240966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1.9522711923999618</v>
          </cell>
          <cell r="F119">
            <v>4.1191424159658796</v>
          </cell>
          <cell r="G119">
            <v>4.3534937391531878</v>
          </cell>
          <cell r="H119">
            <v>3.5541183038370336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2.5374087406296995</v>
          </cell>
          <cell r="F120">
            <v>6.2317848109691596</v>
          </cell>
          <cell r="G120">
            <v>6.367453345063204</v>
          </cell>
          <cell r="H120">
            <v>5.4492238230556902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75.893807173010103</v>
          </cell>
          <cell r="G121">
            <v>296.60628176182621</v>
          </cell>
          <cell r="H121">
            <v>477.9291488060793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384.86666634953951</v>
          </cell>
          <cell r="F122">
            <v>452.00256682669442</v>
          </cell>
          <cell r="G122">
            <v>352.43778071494603</v>
          </cell>
          <cell r="H122">
            <v>33.483649855798589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2.34960356224573E-3</v>
          </cell>
          <cell r="F123">
            <v>0.94459008152490198</v>
          </cell>
          <cell r="G123">
            <v>1.1562659635163846</v>
          </cell>
          <cell r="H123">
            <v>3.22613520307516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1.23236206896945E-2</v>
          </cell>
          <cell r="F124">
            <v>0.96494733154429602</v>
          </cell>
          <cell r="G124">
            <v>2.5520655455328871</v>
          </cell>
          <cell r="H124">
            <v>6.9513173000178803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2.9122601479595799E-2</v>
          </cell>
          <cell r="F125">
            <v>18.73742560744968</v>
          </cell>
          <cell r="G125">
            <v>90.663312028853795</v>
          </cell>
          <cell r="H125">
            <v>328.32024175676827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8.2264059703589307</v>
          </cell>
          <cell r="F126">
            <v>19.622518966648329</v>
          </cell>
          <cell r="G126">
            <v>23.215336732130648</v>
          </cell>
          <cell r="H126">
            <v>1.5296167805642929E-2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0.438876093241377</v>
          </cell>
          <cell r="F127">
            <v>6.1933312912671301</v>
          </cell>
          <cell r="G127">
            <v>10.04828492645834</v>
          </cell>
          <cell r="H127">
            <v>13.803036567078692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37.840426845118699</v>
          </cell>
          <cell r="F128">
            <v>27.87765377022966</v>
          </cell>
          <cell r="G128">
            <v>33.840131454701805</v>
          </cell>
          <cell r="H128">
            <v>2.7896746463353491E-2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10.82877213496381</v>
          </cell>
          <cell r="F129">
            <v>8.6158344628404659</v>
          </cell>
          <cell r="G129">
            <v>10.260819385504613</v>
          </cell>
          <cell r="H129">
            <v>1.184703320279433E-2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2.6204502934938647</v>
          </cell>
          <cell r="F130">
            <v>0.34860402859745165</v>
          </cell>
          <cell r="G130">
            <v>0.49593055514163686</v>
          </cell>
          <cell r="H130">
            <v>4.774615229047291E-2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0.13412595369375799</v>
          </cell>
          <cell r="G131">
            <v>0.28755034179832101</v>
          </cell>
          <cell r="H131">
            <v>2.9792238403456552E-2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8.2614091879356893E-2</v>
          </cell>
          <cell r="G132">
            <v>0.293757872770194</v>
          </cell>
          <cell r="H132">
            <v>3.5957981924027001E-2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0.44429367441163797</v>
          </cell>
          <cell r="F133">
            <v>0.441711829193707</v>
          </cell>
          <cell r="G133">
            <v>0.43407115383775102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0.12045274774294</v>
          </cell>
          <cell r="G134">
            <v>0.722664449632068</v>
          </cell>
          <cell r="H134">
            <v>6.6189740758268806E-2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2.8830232576250201E-2</v>
          </cell>
          <cell r="G135">
            <v>8.2350217687518407E-2</v>
          </cell>
          <cell r="H135">
            <v>5.6572224205277397E-2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15099.0356683437</v>
          </cell>
          <cell r="F136">
            <v>14308.2565138174</v>
          </cell>
          <cell r="G136">
            <v>12831.515767578599</v>
          </cell>
          <cell r="H136">
            <v>7798.0604555549799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9851.0963951663998</v>
          </cell>
          <cell r="G138">
            <v>10233.604862821499</v>
          </cell>
          <cell r="H138">
            <v>8055.6662239788302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330.02658735060299</v>
          </cell>
          <cell r="F139">
            <v>321.18270595241898</v>
          </cell>
          <cell r="G139">
            <v>11.9573925599205</v>
          </cell>
          <cell r="H139">
            <v>0.40629794383935502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328.63595314250398</v>
          </cell>
          <cell r="F141">
            <v>51.047710713935899</v>
          </cell>
          <cell r="G141">
            <v>21.034566130106199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696.84428324072303</v>
          </cell>
          <cell r="F142">
            <v>659.57888989984804</v>
          </cell>
          <cell r="G142">
            <v>657.33725117208303</v>
          </cell>
          <cell r="H142">
            <v>529.46975774415296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8934.8483903432807</v>
          </cell>
          <cell r="F145">
            <v>8259.86546306114</v>
          </cell>
          <cell r="G145">
            <v>6998.8545337887799</v>
          </cell>
          <cell r="H145">
            <v>4163.9431963346597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2093.6594329631698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44.153714761044498</v>
          </cell>
          <cell r="F147">
            <v>61.537609016576504</v>
          </cell>
          <cell r="G147">
            <v>18.111183183440499</v>
          </cell>
          <cell r="H147">
            <v>3.5747100357366399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15.3266526020894</v>
          </cell>
          <cell r="F148">
            <v>10.8603436332081</v>
          </cell>
          <cell r="G148">
            <v>14.877501349025</v>
          </cell>
          <cell r="H148">
            <v>3.4697702695636101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1537.95890866073</v>
          </cell>
          <cell r="F149">
            <v>1510.5078021797899</v>
          </cell>
          <cell r="G149">
            <v>1402.0948018409699</v>
          </cell>
          <cell r="H149">
            <v>1097.7432635274099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-1380.20430105986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2686.29232035222</v>
          </cell>
          <cell r="F151">
            <v>2605.0618149319198</v>
          </cell>
          <cell r="G151">
            <v>2636.0764012387099</v>
          </cell>
          <cell r="H151">
            <v>2157.9838635814299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213.79241210908199</v>
          </cell>
          <cell r="F152">
            <v>212.85628720739001</v>
          </cell>
          <cell r="G152">
            <v>3.7172709845761398</v>
          </cell>
          <cell r="H152">
            <v>0.355862195401279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2267.7920244305801</v>
          </cell>
          <cell r="F153">
            <v>1933.6967713973099</v>
          </cell>
          <cell r="G153">
            <v>1957.23968949714</v>
          </cell>
          <cell r="H153">
            <v>1160.40081782383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9.2728601039877496</v>
          </cell>
          <cell r="F154">
            <v>9.2711067197275501</v>
          </cell>
          <cell r="G154">
            <v>2.5001913696749498</v>
          </cell>
          <cell r="H154">
            <v>2.2053707618221001E-2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4514.5291404127502</v>
          </cell>
          <cell r="F156">
            <v>3846.57266256306</v>
          </cell>
          <cell r="G156">
            <v>3706.0219843080899</v>
          </cell>
          <cell r="H156">
            <v>1823.5811585651199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5712.4206332185204</v>
          </cell>
          <cell r="F157">
            <v>5582.94396286557</v>
          </cell>
          <cell r="G157">
            <v>5234.5709407476897</v>
          </cell>
          <cell r="H157">
            <v>3031.9167797288701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1068.1467514154299</v>
          </cell>
          <cell r="F160">
            <v>1114.5279192180899</v>
          </cell>
          <cell r="G160">
            <v>1024.64874575832</v>
          </cell>
          <cell r="H160">
            <v>1085.2835714412199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80.762820585747406</v>
          </cell>
          <cell r="F162">
            <v>102.218636272818</v>
          </cell>
          <cell r="G162">
            <v>133.09863280012999</v>
          </cell>
          <cell r="H162">
            <v>178.052048756803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2112.5202690565902</v>
          </cell>
          <cell r="F163">
            <v>1841.5167163055601</v>
          </cell>
          <cell r="G163">
            <v>1915.4340317082499</v>
          </cell>
          <cell r="H163">
            <v>1172.48043042719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2266.28862065257</v>
          </cell>
          <cell r="F165">
            <v>2237.5566307754402</v>
          </cell>
          <cell r="G165">
            <v>2312.7769545096098</v>
          </cell>
          <cell r="H165">
            <v>2351.3595117988698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44377.547070434397</v>
          </cell>
          <cell r="F166">
            <v>42322.912597754301</v>
          </cell>
          <cell r="G166">
            <v>40386.226406829199</v>
          </cell>
          <cell r="H166">
            <v>27529.164449763801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-6.7248429304571103E-2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6510.6771036570663</v>
          </cell>
          <cell r="F173">
            <v>6260.6756884573924</v>
          </cell>
          <cell r="G173">
            <v>5715.3641632444132</v>
          </cell>
          <cell r="H173">
            <v>4881.655352714979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7210.0943208689587</v>
          </cell>
          <cell r="F174">
            <v>6460.9055842147091</v>
          </cell>
          <cell r="G174">
            <v>6344.5985769164654</v>
          </cell>
          <cell r="H174">
            <v>3981.587075854176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14742.171597880031</v>
          </cell>
          <cell r="F175">
            <v>13954.386190048735</v>
          </cell>
          <cell r="G175">
            <v>12379.445577238592</v>
          </cell>
          <cell r="H175">
            <v>7374.7651235340018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2639.0782885561216</v>
          </cell>
          <cell r="F176">
            <v>2350.1419505059489</v>
          </cell>
          <cell r="G176">
            <v>2351.9227038231575</v>
          </cell>
          <cell r="H176">
            <v>2354.934221834606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3805.7509330913113</v>
          </cell>
          <cell r="F177">
            <v>3444.2045735770989</v>
          </cell>
          <cell r="G177">
            <v>3359.3344913381002</v>
          </cell>
          <cell r="H177">
            <v>2258.1440813512399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2639.0782885561216</v>
          </cell>
          <cell r="F178">
            <v>2350.1419505059489</v>
          </cell>
          <cell r="G178">
            <v>2351.9227038231575</v>
          </cell>
          <cell r="H178">
            <v>2354.934221834606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6510.6771036570663</v>
          </cell>
          <cell r="F180">
            <v>6260.6756884573924</v>
          </cell>
          <cell r="G180">
            <v>5715.3641632444132</v>
          </cell>
          <cell r="H180">
            <v>4881.5591929378006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44057.527636266655</v>
          </cell>
          <cell r="F181">
            <v>41081.131625767281</v>
          </cell>
          <cell r="G181">
            <v>38217.952379628303</v>
          </cell>
          <cell r="H181">
            <v>28087.579270061397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2093.6594329631707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2093.6594329631707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114.397693864744</v>
          </cell>
          <cell r="F190">
            <v>46.244403025856897</v>
          </cell>
          <cell r="G190">
            <v>4.7810800729652296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2843.2803045784799</v>
          </cell>
          <cell r="F191">
            <v>2577.4177359718101</v>
          </cell>
          <cell r="G191">
            <v>2455.9605391370601</v>
          </cell>
          <cell r="H191">
            <v>2685.2656880012801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226.173085210479</v>
          </cell>
          <cell r="F192">
            <v>4.7188143983917898</v>
          </cell>
          <cell r="G192">
            <v>19.625612238503098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1689.2969367266601</v>
          </cell>
          <cell r="F193">
            <v>1897.7118672435599</v>
          </cell>
          <cell r="G193">
            <v>2169.6101426713599</v>
          </cell>
          <cell r="H193">
            <v>2017.4754448460801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15.9002498251029</v>
          </cell>
          <cell r="F195">
            <v>15.8518754579821</v>
          </cell>
          <cell r="G195">
            <v>0.61970334703457797</v>
          </cell>
          <cell r="H195">
            <v>0.77011632089132298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17.485520058401502</v>
          </cell>
          <cell r="F196">
            <v>21.5414119086619</v>
          </cell>
          <cell r="G196">
            <v>9.9893658785399406</v>
          </cell>
          <cell r="H196">
            <v>1.30585304251482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10.030526384494101</v>
          </cell>
          <cell r="F198">
            <v>23.123564367005699</v>
          </cell>
          <cell r="G198">
            <v>7.2147431585767601</v>
          </cell>
          <cell r="H198">
            <v>1.44625881774772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4916.5643166483596</v>
          </cell>
          <cell r="F199">
            <v>4586.6096723732599</v>
          </cell>
          <cell r="G199">
            <v>4667.8011865040398</v>
          </cell>
          <cell r="H199">
            <v>4706.2633610285102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118.503969228359</v>
          </cell>
          <cell r="F200">
            <v>34.810973595745502</v>
          </cell>
          <cell r="G200">
            <v>76.192413256433497</v>
          </cell>
          <cell r="H200">
            <v>8.3480155086220904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2005.1599254799301</v>
          </cell>
          <cell r="F201">
            <v>1800.94870508901</v>
          </cell>
          <cell r="G201">
            <v>1964.4628184943299</v>
          </cell>
          <cell r="H201">
            <v>1293.1071691124801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655.78752653143204</v>
          </cell>
          <cell r="F203">
            <v>598.58263948154399</v>
          </cell>
          <cell r="G203">
            <v>608.56463794788601</v>
          </cell>
          <cell r="H203">
            <v>492.66271310107697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330.02658735060299</v>
          </cell>
          <cell r="F206">
            <v>321.18270595241898</v>
          </cell>
          <cell r="G206">
            <v>11.9573925599205</v>
          </cell>
          <cell r="H206">
            <v>0.40629794383935502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29.418645080039699</v>
          </cell>
          <cell r="F207">
            <v>50.022835126882399</v>
          </cell>
          <cell r="G207">
            <v>37.906287041091304</v>
          </cell>
          <cell r="H207">
            <v>45.336099318277398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723.66722230330799</v>
          </cell>
          <cell r="F208">
            <v>749.91024208869499</v>
          </cell>
          <cell r="G208">
            <v>1005.70132861447</v>
          </cell>
          <cell r="H208">
            <v>1063.72798290794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2.1756984185718902</v>
          </cell>
          <cell r="H209">
            <v>0.76938328260584998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344.47952911212599</v>
          </cell>
          <cell r="F210">
            <v>364.70545803169802</v>
          </cell>
          <cell r="G210">
            <v>19.054924548214</v>
          </cell>
          <cell r="H210">
            <v>21.666003763362099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210.22182967416401</v>
          </cell>
          <cell r="F211">
            <v>209.30133914928601</v>
          </cell>
          <cell r="G211">
            <v>3.6551882270431699</v>
          </cell>
          <cell r="H211">
            <v>0.34991888201790899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4417.2652347599596</v>
          </cell>
          <cell r="F212">
            <v>4129.4648985152799</v>
          </cell>
          <cell r="G212">
            <v>3729.6706891079598</v>
          </cell>
          <cell r="H212">
            <v>2926.3735838202301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8.3647918781319503E-6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5.7835593225210102E-5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1.4756301969204599E-5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4.4949139189688999E-4</v>
          </cell>
          <cell r="F8">
            <v>8.7722318818523392E-6</v>
          </cell>
          <cell r="G8">
            <v>9.5199081937090492E-6</v>
          </cell>
          <cell r="H8">
            <v>1.2417769444107199E-5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4.2345694322355604E-3</v>
          </cell>
          <cell r="F10">
            <v>2.8718115930272198E-2</v>
          </cell>
          <cell r="G10">
            <v>1.7068234364491501E-5</v>
          </cell>
          <cell r="H10">
            <v>9.3584151915205499E-2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7.6060722503612102E-6</v>
          </cell>
          <cell r="F11">
            <v>8.0579358562703196E-6</v>
          </cell>
          <cell r="G11">
            <v>9.6933452287769606E-6</v>
          </cell>
          <cell r="H11">
            <v>1.1908693586425899E-5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1.55135122727915E-2</v>
          </cell>
          <cell r="F12">
            <v>9.2654934134051806E-2</v>
          </cell>
          <cell r="G12">
            <v>1.7814719694600799E-5</v>
          </cell>
          <cell r="H12">
            <v>1.92791468681406E-3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H13">
            <v>8.8734436889197196E-4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G14">
            <v>4.0881154114224397E-5</v>
          </cell>
          <cell r="H14">
            <v>0.196515539351971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3.2050705670831E-5</v>
          </cell>
          <cell r="F15">
            <v>3.5470059228738299E-6</v>
          </cell>
          <cell r="G15">
            <v>4.1024593838111601E-6</v>
          </cell>
          <cell r="H15">
            <v>4.7589460780098196E-6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1.42287845650044E-4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4.2022697970547602E-5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5.1833855917472101E-5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2.2482027123936501E-4</v>
          </cell>
          <cell r="F19">
            <v>4.6381222786838498E-6</v>
          </cell>
          <cell r="G19">
            <v>7.6925504290318894E-6</v>
          </cell>
          <cell r="H19">
            <v>1.06650827800905E-5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6.8337729709203501E-2</v>
          </cell>
          <cell r="F20">
            <v>9.4216443464120697E-2</v>
          </cell>
          <cell r="G20">
            <v>3.9088497292194297E-5</v>
          </cell>
          <cell r="H20">
            <v>3.8923052237943097E-5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1.4108689698768901E-5</v>
          </cell>
          <cell r="F21">
            <v>2.00863194670824E-6</v>
          </cell>
          <cell r="G21">
            <v>2.4428176174718799E-6</v>
          </cell>
          <cell r="H21">
            <v>2.0258802884127202E-6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1.6210554757487498E-5</v>
          </cell>
          <cell r="F22">
            <v>6.2400521432721696E-4</v>
          </cell>
          <cell r="G22">
            <v>2.9688482860222198E-5</v>
          </cell>
          <cell r="H22">
            <v>1.06869260853491E-5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E25">
            <v>2.6353821030730001E-3</v>
          </cell>
          <cell r="F25">
            <v>6.5646331272761299E-5</v>
          </cell>
          <cell r="G25">
            <v>1.3748325669458501E-4</v>
          </cell>
          <cell r="H25">
            <v>3.8335980500460898E-3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E26">
            <v>1.5317256403648201E-5</v>
          </cell>
          <cell r="F26">
            <v>4.8524294647227398E-6</v>
          </cell>
          <cell r="G26">
            <v>2.0768275224184099E-5</v>
          </cell>
          <cell r="H26">
            <v>7.6793403797711493E-6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E27">
            <v>0.164056371354176</v>
          </cell>
          <cell r="F27">
            <v>4.1231146890597301E-2</v>
          </cell>
          <cell r="G27">
            <v>2.6291447664021801E-5</v>
          </cell>
          <cell r="H27">
            <v>2.9887101404790401E-5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H28">
            <v>7.66403628444295E-4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E29">
            <v>5.7310982874705603E-2</v>
          </cell>
          <cell r="F29">
            <v>9.8684992321100103E-6</v>
          </cell>
          <cell r="G29">
            <v>3.5562804649126702E-3</v>
          </cell>
          <cell r="H29">
            <v>1.5126942843208599E-2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E30">
            <v>5.5158831164173697E-5</v>
          </cell>
          <cell r="F30">
            <v>1.23665487383722E-5</v>
          </cell>
          <cell r="G30">
            <v>1.49201713848045E-5</v>
          </cell>
          <cell r="H30">
            <v>1.96324156417171E-5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H31">
            <v>3.63733123604139E-5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H33">
            <v>8.3647918781319503E-6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H35">
            <v>5.7835593225210102E-5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H36">
            <v>1.4756301969204599E-5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E37">
            <v>1.027961485932877</v>
          </cell>
          <cell r="F37">
            <v>1.0279702581647587</v>
          </cell>
          <cell r="G37">
            <v>1.0279797780729525</v>
          </cell>
          <cell r="H37">
            <v>1.0279921958423965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E39">
            <v>0.21279699567428934</v>
          </cell>
          <cell r="F39">
            <v>0.24150485329446542</v>
          </cell>
          <cell r="G39">
            <v>0.24147065447397506</v>
          </cell>
          <cell r="H39">
            <v>0.26147671468051759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E40">
            <v>7.6060722503612102E-6</v>
          </cell>
          <cell r="F40">
            <v>1.56640081066315E-5</v>
          </cell>
          <cell r="G40">
            <v>2.53573533354085E-5</v>
          </cell>
          <cell r="H40">
            <v>3.7266046921834397E-5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E41">
            <v>4.352469906735415E-2</v>
          </cell>
          <cell r="F41">
            <v>0.13617636338315181</v>
          </cell>
          <cell r="G41">
            <v>0.13616944382452406</v>
          </cell>
          <cell r="H41">
            <v>0.13322674348498703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H42">
            <v>8.8734436889197196E-4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H43">
            <v>5.2754227969384899E-2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E44">
            <v>0.95964974378731482</v>
          </cell>
          <cell r="F44">
            <v>0.95965329079323769</v>
          </cell>
          <cell r="G44">
            <v>0.95965739325262156</v>
          </cell>
          <cell r="H44">
            <v>0.95966215219869955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H45">
            <v>1.42287845650044E-4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H46">
            <v>4.2022697970547602E-5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H47">
            <v>5.1833855917472101E-5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E48">
            <v>2.2352770218963793</v>
          </cell>
          <cell r="F48">
            <v>2.235281660018658</v>
          </cell>
          <cell r="G48">
            <v>2.2352893525690871</v>
          </cell>
          <cell r="H48">
            <v>2.2353000176518671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E49">
            <v>6.8337729709203501E-2</v>
          </cell>
          <cell r="F49">
            <v>0.16254882538797885</v>
          </cell>
          <cell r="G49">
            <v>0.16256342554111533</v>
          </cell>
          <cell r="H49">
            <v>0.16256341209374639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E50">
            <v>3.0972541160856188</v>
          </cell>
          <cell r="F50">
            <v>3.0972561247175654</v>
          </cell>
          <cell r="G50">
            <v>3.0972585675351829</v>
          </cell>
          <cell r="H50">
            <v>3.0972605934154713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E51">
            <v>1.6210554757487498E-5</v>
          </cell>
          <cell r="F51">
            <v>6.3860374680141071E-4</v>
          </cell>
          <cell r="G51">
            <v>6.6402033593582742E-4</v>
          </cell>
          <cell r="H51">
            <v>6.7125995242248832E-4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E54">
            <v>2.6353821030730001E-3</v>
          </cell>
          <cell r="F54">
            <v>2.6969516592278784E-3</v>
          </cell>
          <cell r="G54">
            <v>2.8243651003021578E-3</v>
          </cell>
          <cell r="H54">
            <v>6.6399646229177633E-3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E55">
            <v>6.2414620691383371E-2</v>
          </cell>
          <cell r="F55">
            <v>6.2409584697077226E-2</v>
          </cell>
          <cell r="G55">
            <v>6.2309309925621462E-2</v>
          </cell>
          <cell r="H55">
            <v>1.5724493680443277E-3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E56">
            <v>0.36634906655500521</v>
          </cell>
          <cell r="F56">
            <v>0.40757188095441188</v>
          </cell>
          <cell r="G56">
            <v>0.12668917879899505</v>
          </cell>
          <cell r="H56">
            <v>0.12559257919378103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H57">
            <v>7.66403628444295E-4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E58">
            <v>5.9347347707705007E-2</v>
          </cell>
          <cell r="F58">
            <v>5.9351820895005694E-2</v>
          </cell>
          <cell r="G58">
            <v>6.2905050650972183E-2</v>
          </cell>
          <cell r="H58">
            <v>7.6909181841653365E-2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E59">
            <v>1.9845385290972641</v>
          </cell>
          <cell r="F59">
            <v>1.9845508956460025</v>
          </cell>
          <cell r="G59">
            <v>1.9845658158173873</v>
          </cell>
          <cell r="H59">
            <v>1.984585448233029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H60">
            <v>3.63733123604139E-5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E65">
            <v>0.11258923660105545</v>
          </cell>
          <cell r="F65">
            <v>0.12784581924871477</v>
          </cell>
          <cell r="G65">
            <v>0.11842126328064324</v>
          </cell>
          <cell r="H65">
            <v>0.13842302649489827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H66">
            <v>0.34130473341300771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F67">
            <v>1.8328472478563364E-4</v>
          </cell>
          <cell r="G67">
            <v>8.2850718410027737E-5</v>
          </cell>
          <cell r="H67">
            <v>2.7061888861310462E-4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E68">
            <v>2.473170227297925</v>
          </cell>
          <cell r="F68">
            <v>0.66636253521373456</v>
          </cell>
          <cell r="G68">
            <v>2.6356141308874887</v>
          </cell>
          <cell r="H68">
            <v>3.3820865877947677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H72">
            <v>8.9002583468709602E-3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E74">
            <v>9.6794575123593152</v>
          </cell>
          <cell r="F74">
            <v>10.991087717696651</v>
          </cell>
          <cell r="G74">
            <v>10.180845177470154</v>
          </cell>
          <cell r="H74">
            <v>11.900425334947096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E76">
            <v>9.6794575123593152</v>
          </cell>
          <cell r="F76">
            <v>10.991087717696651</v>
          </cell>
          <cell r="G76">
            <v>10.180845177470154</v>
          </cell>
          <cell r="H76">
            <v>11.900425334947096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H78">
            <v>4.1564196226639268E-2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  <cell r="E79">
            <v>5.8268786018174561</v>
          </cell>
          <cell r="F79">
            <v>0.90510125379318973</v>
          </cell>
          <cell r="G79">
            <v>0.37295330017918826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E80">
            <v>0.27174915961151475</v>
          </cell>
          <cell r="F80">
            <v>0.19255928427673985</v>
          </cell>
          <cell r="G80">
            <v>0.26378548491179105</v>
          </cell>
          <cell r="H80">
            <v>6.152074946034769E-2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E81">
            <v>27.26877497625409</v>
          </cell>
          <cell r="F81">
            <v>26.782053230138036</v>
          </cell>
          <cell r="G81">
            <v>24.85983691207387</v>
          </cell>
          <cell r="H81">
            <v>19.46353304126616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E82">
            <v>47.629296460145738</v>
          </cell>
          <cell r="F82">
            <v>46.18903927184266</v>
          </cell>
          <cell r="G82">
            <v>46.738943284374216</v>
          </cell>
          <cell r="H82">
            <v>38.262125240805588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E83">
            <v>37.456033139301184</v>
          </cell>
          <cell r="F83">
            <v>32.651005608254586</v>
          </cell>
          <cell r="G83">
            <v>33.961596306883877</v>
          </cell>
          <cell r="H83">
            <v>20.788660113957238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  <cell r="E84">
            <v>328.63595314250398</v>
          </cell>
          <cell r="F84">
            <v>51.047710713935899</v>
          </cell>
          <cell r="G84">
            <v>21.034566130106199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E85">
            <v>696.84428324072303</v>
          </cell>
          <cell r="F85">
            <v>659.57888989984804</v>
          </cell>
          <cell r="G85">
            <v>657.33725117208303</v>
          </cell>
          <cell r="H85">
            <v>529.46975774415296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E86">
            <v>15.3266526020894</v>
          </cell>
          <cell r="F86">
            <v>10.8603436332081</v>
          </cell>
          <cell r="G86">
            <v>14.877501349025</v>
          </cell>
          <cell r="H86">
            <v>3.4697702695636101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E87">
            <v>1537.95890866073</v>
          </cell>
          <cell r="F87">
            <v>1510.5078021797899</v>
          </cell>
          <cell r="G87">
            <v>1402.0948018409699</v>
          </cell>
          <cell r="H87">
            <v>1097.7432635274099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E88">
            <v>2686.29232035222</v>
          </cell>
          <cell r="F88">
            <v>2605.0618149319198</v>
          </cell>
          <cell r="G88">
            <v>2636.0764012387099</v>
          </cell>
          <cell r="H88">
            <v>2157.9838635814299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E89">
            <v>2267.7920244305801</v>
          </cell>
          <cell r="F89">
            <v>1933.6967713973099</v>
          </cell>
          <cell r="G89">
            <v>1957.23968949714</v>
          </cell>
          <cell r="H89">
            <v>1160.40081782383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E90">
            <v>4514.5291404127502</v>
          </cell>
          <cell r="F90">
            <v>3846.57266256306</v>
          </cell>
          <cell r="G90">
            <v>3706.0219843080899</v>
          </cell>
          <cell r="H90">
            <v>1823.5811585651199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E91">
            <v>5712.4206332185204</v>
          </cell>
          <cell r="F91">
            <v>5582.94396286557</v>
          </cell>
          <cell r="G91">
            <v>5234.5709407476897</v>
          </cell>
          <cell r="H91">
            <v>3031.9167797288701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E93">
            <v>2112.5202690565902</v>
          </cell>
          <cell r="F93">
            <v>1841.5167163055601</v>
          </cell>
          <cell r="G93">
            <v>1915.4340317082499</v>
          </cell>
          <cell r="H93">
            <v>1172.48043042719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E95">
            <v>6.0384889906954458</v>
          </cell>
          <cell r="F95">
            <v>0.90360314582001289</v>
          </cell>
          <cell r="G95">
            <v>0.43274277147993545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E96">
            <v>9.2972343502235013</v>
          </cell>
          <cell r="F96">
            <v>8.800042791971638</v>
          </cell>
          <cell r="G96">
            <v>8.7710485782458143</v>
          </cell>
          <cell r="H96">
            <v>7.2996031348107948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E101">
            <v>2.9709603938165858</v>
          </cell>
          <cell r="F101">
            <v>2.9721740015845719</v>
          </cell>
          <cell r="G101">
            <v>4.4006224837199213</v>
          </cell>
          <cell r="H101">
            <v>2.9658931852739499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H105">
            <v>6.37438660137563E-3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H106">
            <v>1.3121917355214154E-4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H107">
            <v>1.3121917355214154E-4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E108">
            <v>1.176538351110521</v>
          </cell>
          <cell r="F108">
            <v>4.0703958725878522</v>
          </cell>
          <cell r="G108">
            <v>4.0703871199199924</v>
          </cell>
          <cell r="H108">
            <v>4.0711611860050017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E109">
            <v>0.23090106408996414</v>
          </cell>
          <cell r="F109">
            <v>1.8160741708219189E-3</v>
          </cell>
          <cell r="G109">
            <v>6.1171919835109959E-2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E111">
            <v>2.3790307969536788E-2</v>
          </cell>
          <cell r="F111">
            <v>2.0808875239340906E-2</v>
          </cell>
          <cell r="G111">
            <v>2.7220217970123292E-2</v>
          </cell>
          <cell r="H111">
            <v>1.2361840836107522E-2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E112">
            <v>0.30033181946995979</v>
          </cell>
          <cell r="F112">
            <v>1.7974186171672832</v>
          </cell>
          <cell r="G112">
            <v>0.73520222141499658</v>
          </cell>
          <cell r="H112">
            <v>0.72140289686061543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E113">
            <v>0.30400857413150201</v>
          </cell>
          <cell r="F113">
            <v>2.2488915927357054</v>
          </cell>
          <cell r="G113">
            <v>0.87304549805444343</v>
          </cell>
          <cell r="H113">
            <v>0.96348454954207119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E114">
            <v>0.31787099163468469</v>
          </cell>
          <cell r="F114">
            <v>3.424517107988538E-3</v>
          </cell>
          <cell r="G114">
            <v>2.3752694965447527</v>
          </cell>
          <cell r="H114">
            <v>2.3755356612297041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E115">
            <v>9.455146312628532</v>
          </cell>
          <cell r="F115">
            <v>8.9495100393466611</v>
          </cell>
          <cell r="G115">
            <v>8.9190943171246015</v>
          </cell>
          <cell r="H115">
            <v>7.1841215433399217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E116">
            <v>30.770583777891158</v>
          </cell>
          <cell r="F116">
            <v>26.237405310682689</v>
          </cell>
          <cell r="G116">
            <v>26.556847890056115</v>
          </cell>
          <cell r="H116">
            <v>15.744922901273103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E117">
            <v>61.25548358768993</v>
          </cell>
          <cell r="F117">
            <v>52.192302070055007</v>
          </cell>
          <cell r="G117">
            <v>50.285237236201965</v>
          </cell>
          <cell r="H117">
            <v>24.743299302104791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E118">
            <v>3.7982918878914633</v>
          </cell>
          <cell r="F118">
            <v>12.540359083790694</v>
          </cell>
          <cell r="G118">
            <v>12.540421416964007</v>
          </cell>
          <cell r="H118">
            <v>12.540431121177249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E119">
            <v>0.29459975544247907</v>
          </cell>
          <cell r="F119">
            <v>0.21484073599650791</v>
          </cell>
          <cell r="G119">
            <v>0.29195931596873653</v>
          </cell>
          <cell r="H119">
            <v>7.4326327389226982E-2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E120">
            <v>10.646030462301285</v>
          </cell>
          <cell r="F120">
            <v>12.436290031770413</v>
          </cell>
          <cell r="G120">
            <v>8.9490637589908157</v>
          </cell>
          <cell r="H120">
            <v>6.9407741015686106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E122">
            <v>77.404073620847043</v>
          </cell>
          <cell r="F122">
            <v>75.649647193300396</v>
          </cell>
          <cell r="G122">
            <v>70.929145538586567</v>
          </cell>
          <cell r="H122">
            <v>41.082883194158065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E123">
            <v>0.43687091603376721</v>
          </cell>
          <cell r="F123">
            <v>0.55213811081003705</v>
          </cell>
          <cell r="G123">
            <v>1.6042881164276321</v>
          </cell>
          <cell r="H123">
            <v>3.1475976994673842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E124">
            <v>27.481314450275502</v>
          </cell>
          <cell r="F124">
            <v>28.488462048411687</v>
          </cell>
          <cell r="G124">
            <v>25.513533100884118</v>
          </cell>
          <cell r="H124">
            <v>20.120063683144217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1.4743778318522348E-4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6.1220145371705041E-4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H127">
            <v>1.3387508710156147E-4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H128">
            <v>1.4302647496446065E-4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H129">
            <v>1.8786210846580525E-4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1.5055723523069831E-4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6.0610023901718423E-4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H133">
            <v>1.7889991376385565E-4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H134">
            <v>1.4955773597960729E-4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H135">
            <v>1.2708535404302144E-4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H137">
            <v>8.9002583468709602E-3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E140">
            <v>5.0244558197298922E-3</v>
          </cell>
          <cell r="F140">
            <v>2.0506674049789439E-2</v>
          </cell>
          <cell r="G140">
            <v>2.1291578446892351E-2</v>
          </cell>
          <cell r="H140">
            <v>9.0276552669671578E-2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H141">
            <v>1.2990698181662011E-4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1.4743778318522348E-4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H143">
            <v>6.1220145371705041E-4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H144">
            <v>1.3387508710156147E-4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H145">
            <v>1.4302647496446065E-4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H146">
            <v>1.8786210846580525E-4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F149">
            <v>2.1578738839249396E-3</v>
          </cell>
          <cell r="G149">
            <v>1.8849027709331799E-3</v>
          </cell>
          <cell r="H149">
            <v>1.9525443601306315E-3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H151">
            <v>3.5588837948649373E-2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H152">
            <v>4.232757097861288E-2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H155">
            <v>1.5055723523069831E-4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H156">
            <v>6.0610023901718423E-4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H157">
            <v>1.7889991376385565E-4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H158">
            <v>1.4955773597960729E-4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H159">
            <v>1.2708535404302144E-4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E160">
            <v>47.78066398916684</v>
          </cell>
          <cell r="F160">
            <v>48.283682865512411</v>
          </cell>
          <cell r="G160">
            <v>47.460370951729558</v>
          </cell>
          <cell r="H160">
            <v>39.099934607424856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E161">
            <v>10.646030462301285</v>
          </cell>
          <cell r="F161">
            <v>12.436290031770413</v>
          </cell>
          <cell r="G161">
            <v>8.9490637589908157</v>
          </cell>
          <cell r="H161">
            <v>6.9407741015686106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H162">
            <v>1.483376391145161E-2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F163">
            <v>6.1858594615151257E-3</v>
          </cell>
          <cell r="G163">
            <v>2.7962117463384306E-3</v>
          </cell>
          <cell r="H163">
            <v>9.1333874906922713E-3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E164">
            <v>0.39666506342095031</v>
          </cell>
          <cell r="F164">
            <v>3.4275574377838676</v>
          </cell>
          <cell r="G164">
            <v>3.4229528974398034</v>
          </cell>
          <cell r="H164">
            <v>5.7147386060586461E-2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E165">
            <v>7.1192584232116349</v>
          </cell>
          <cell r="F165">
            <v>8.2975348699465012</v>
          </cell>
          <cell r="G165">
            <v>2.3092599269542635</v>
          </cell>
          <cell r="H165">
            <v>2.7099861417669389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E166">
            <v>3.1301069756686961</v>
          </cell>
          <cell r="F166">
            <v>0.70501186457851961</v>
          </cell>
          <cell r="G166">
            <v>3.2140547228504026</v>
          </cell>
          <cell r="H166">
            <v>4.1507224626111485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E168">
            <v>2.8760887320951913</v>
          </cell>
          <cell r="F168">
            <v>1.8147572347056704</v>
          </cell>
          <cell r="G168">
            <v>3.2885273479649721</v>
          </cell>
          <cell r="H168">
            <v>3.3872223381656861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E169">
            <v>0.13920514596278311</v>
          </cell>
          <cell r="F169">
            <v>1.2028627611103246</v>
          </cell>
          <cell r="G169">
            <v>1.2012468494261463</v>
          </cell>
          <cell r="H169">
            <v>2.0055232869130191E-2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G170">
            <v>1.03544304550713E-3</v>
          </cell>
          <cell r="H170">
            <v>0.23949978993615362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G171">
            <v>9.5317539077009793E-4</v>
          </cell>
          <cell r="H171">
            <v>7.4854263886987692E-3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G172">
            <v>9.5434524827599904E-4</v>
          </cell>
          <cell r="H172">
            <v>7.5287058467960605E-3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E173">
            <v>3.0152938780579746</v>
          </cell>
          <cell r="F173">
            <v>3.0176199958159944</v>
          </cell>
          <cell r="G173">
            <v>4.4869528449122704</v>
          </cell>
          <cell r="H173">
            <v>3.1529000612231211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E175">
            <v>5.6294618300527715</v>
          </cell>
          <cell r="F175">
            <v>6.3922909624357347</v>
          </cell>
          <cell r="G175">
            <v>5.9210631640321649</v>
          </cell>
          <cell r="H175">
            <v>6.9211513247449021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H176">
            <v>6.37438660137563E-3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E177">
            <v>1.3280740866753387</v>
          </cell>
          <cell r="F177">
            <v>4.3847409383883615</v>
          </cell>
          <cell r="G177">
            <v>4.3847627332042052</v>
          </cell>
          <cell r="H177">
            <v>4.3847661262857534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F178">
            <v>4.5821181196408333E-3</v>
          </cell>
          <cell r="G178">
            <v>2.0712679602506927E-3</v>
          </cell>
          <cell r="H178">
            <v>6.7654722153275993E-3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E179">
            <v>0.43687091603376721</v>
          </cell>
          <cell r="F179">
            <v>0.55213811081003705</v>
          </cell>
          <cell r="G179">
            <v>1.6042881164276321</v>
          </cell>
          <cell r="H179">
            <v>3.1475976994673842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E180">
            <v>1.1840860449880417</v>
          </cell>
          <cell r="F180">
            <v>1.1840191929471144</v>
          </cell>
          <cell r="G180">
            <v>1.1840291827246885</v>
          </cell>
          <cell r="H180">
            <v>1.1840199951870698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E181">
            <v>1.2891444077490366</v>
          </cell>
          <cell r="F181">
            <v>4.4599719775547415</v>
          </cell>
          <cell r="G181">
            <v>4.4599623871722374</v>
          </cell>
          <cell r="H181">
            <v>4.4608105388400263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E182">
            <v>4.0479078015955148</v>
          </cell>
          <cell r="F182">
            <v>4.5874623138564417</v>
          </cell>
          <cell r="G182">
            <v>3.0613866770378437</v>
          </cell>
          <cell r="H182">
            <v>3.0405769708236456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H183">
            <v>5.0110853059788303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E184">
            <v>1.1840860449880417</v>
          </cell>
          <cell r="F184">
            <v>1.1840191929471144</v>
          </cell>
          <cell r="G184">
            <v>1.1840291827246885</v>
          </cell>
          <cell r="H184">
            <v>1.1840199951870698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E185">
            <v>5.9801770754977683</v>
          </cell>
          <cell r="F185">
            <v>6.9699292907550641</v>
          </cell>
          <cell r="G185">
            <v>1.9397783386415819</v>
          </cell>
          <cell r="H185">
            <v>2.276388359084228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E186">
            <v>30.256679168903222</v>
          </cell>
          <cell r="F186">
            <v>25.799210065042509</v>
          </cell>
          <cell r="G186">
            <v>26.114252197428314</v>
          </cell>
          <cell r="H186">
            <v>15.489299762393747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E187">
            <v>2.9848618205759734</v>
          </cell>
          <cell r="F187">
            <v>4.0443988278181138</v>
          </cell>
          <cell r="G187">
            <v>2.570739257428853</v>
          </cell>
          <cell r="H187">
            <v>1.9550049530579647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E188">
            <v>1.4976588400328694</v>
          </cell>
          <cell r="F188">
            <v>0.33732625099450675</v>
          </cell>
          <cell r="G188">
            <v>1.5378252262442138</v>
          </cell>
          <cell r="H188">
            <v>1.985991608904857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E189">
            <v>4.4825206606088379</v>
          </cell>
          <cell r="F189">
            <v>4.3817250788126199</v>
          </cell>
          <cell r="G189">
            <v>4.1085644836730637</v>
          </cell>
          <cell r="H189">
            <v>3.9409965619628196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E190">
            <v>80.683179246270697</v>
          </cell>
          <cell r="F190">
            <v>78.855240602993035</v>
          </cell>
          <cell r="G190">
            <v>73.934947977087589</v>
          </cell>
          <cell r="H190">
            <v>44.362179186219919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E191">
            <v>60.232445624916004</v>
          </cell>
          <cell r="F191">
            <v>51.320629800815738</v>
          </cell>
          <cell r="G191">
            <v>49.44635418167627</v>
          </cell>
          <cell r="H191">
            <v>24.33745865641847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H192">
            <v>1.7978556816269057E-4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H193">
            <v>1.7975229253718033E-4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E194">
            <v>1.2891444077490366</v>
          </cell>
          <cell r="F194">
            <v>4.4599719775547415</v>
          </cell>
          <cell r="G194">
            <v>4.4599623871722374</v>
          </cell>
          <cell r="H194">
            <v>4.4608105388400263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E195">
            <v>1.2891444077490366</v>
          </cell>
          <cell r="F195">
            <v>4.4599719775547415</v>
          </cell>
          <cell r="G195">
            <v>4.4599623871722374</v>
          </cell>
          <cell r="H195">
            <v>4.4608105388400263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H196">
            <v>3.5615311531140288E-2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H197">
            <v>4.2346506482894543E-2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F198">
            <v>5.4985417435690089E-4</v>
          </cell>
          <cell r="G198">
            <v>2.4855215523008283E-4</v>
          </cell>
          <cell r="H198">
            <v>8.1185666583931209E-4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E199">
            <v>5.429000692548535E-2</v>
          </cell>
          <cell r="F199">
            <v>0.46911647683302599</v>
          </cell>
          <cell r="G199">
            <v>0.46848627127619663</v>
          </cell>
          <cell r="H199">
            <v>7.8215408189607639E-3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H201">
            <v>4.1564196226639268E-2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H204">
            <v>0.34130473341300771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H205">
            <v>1.7978556816269057E-4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E206">
            <v>3.18368798889021E-5</v>
          </cell>
          <cell r="F206">
            <v>1.16612611637865E-3</v>
          </cell>
          <cell r="G206">
            <v>2.0389632265815898E-2</v>
          </cell>
          <cell r="H206">
            <v>0.14069932564142101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H207">
            <v>5.0110853059788303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H208">
            <v>5.0110853059788303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E209">
            <v>2.473170227297925</v>
          </cell>
          <cell r="F209">
            <v>0.66636253521373456</v>
          </cell>
          <cell r="G209">
            <v>2.6356141308874887</v>
          </cell>
          <cell r="H209">
            <v>3.3820865877947677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E212">
            <v>7.3349719996056804E-3</v>
          </cell>
          <cell r="F212">
            <v>2.9548521685575584E-2</v>
          </cell>
          <cell r="G212">
            <v>3.0094103811861984E-2</v>
          </cell>
          <cell r="H212">
            <v>0.12366651050639943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E213">
            <v>9.6747576444134228E-3</v>
          </cell>
          <cell r="F213">
            <v>8.3598961897167479E-2</v>
          </cell>
          <cell r="G213">
            <v>8.3486656035117041E-2</v>
          </cell>
          <cell r="H213">
            <v>1.3938386844045481E-3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E214">
            <v>2.4561604976539053</v>
          </cell>
          <cell r="F214">
            <v>0.55321505163099161</v>
          </cell>
          <cell r="G214">
            <v>2.5220333710405085</v>
          </cell>
          <cell r="H214">
            <v>3.2570262386039661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E216">
            <v>4.0479078015955148</v>
          </cell>
          <cell r="F216">
            <v>4.5874623138564417</v>
          </cell>
          <cell r="G216">
            <v>3.0613866770378437</v>
          </cell>
          <cell r="H216">
            <v>3.0405769708236456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E217">
            <v>37.653615154402253</v>
          </cell>
          <cell r="F217">
            <v>32.548930473134021</v>
          </cell>
          <cell r="G217">
            <v>36.221152998557265</v>
          </cell>
          <cell r="H217">
            <v>23.088687101288528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E219">
            <v>9.6794575123593152</v>
          </cell>
          <cell r="F219">
            <v>10.991087717696651</v>
          </cell>
          <cell r="G219">
            <v>10.180845177470154</v>
          </cell>
          <cell r="H219">
            <v>11.900425334947096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H220">
            <v>0.34130473341300799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H221">
            <v>1.7978556816269001E-4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1.8024761143534799E-2</v>
          </cell>
          <cell r="E4">
            <v>1.8420303747621301E-2</v>
          </cell>
          <cell r="F4">
            <v>1.85468073786847E-2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4.4642222229811374E-3</v>
          </cell>
          <cell r="E5">
            <v>3.653685563001728E-3</v>
          </cell>
          <cell r="F5">
            <v>2.3066668016693188E-3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3.1958796353785218E-4</v>
          </cell>
          <cell r="E6">
            <v>3.2660113027697339E-4</v>
          </cell>
          <cell r="F6">
            <v>3.2884410245894943E-4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4.1662644241284291E-5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3.4042172393417203</v>
          </cell>
          <cell r="E8">
            <v>1.9862194594751681</v>
          </cell>
          <cell r="F8">
            <v>2.4323184082919402</v>
          </cell>
          <cell r="G8">
            <v>2.3666620365021656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6.2304209406257123E-3</v>
          </cell>
          <cell r="E9">
            <v>3.645189516297899E-3</v>
          </cell>
          <cell r="F9">
            <v>4.5115485211031144E-3</v>
          </cell>
          <cell r="G9">
            <v>4.6101467415647877E-3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6.0358461690455945E-2</v>
          </cell>
          <cell r="E10">
            <v>3.5216657082892962E-2</v>
          </cell>
          <cell r="F10">
            <v>4.3126212912977586E-2</v>
          </cell>
          <cell r="G10">
            <v>4.1962092845783096E-2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7.8394275018420104E-6</v>
          </cell>
          <cell r="F11">
            <v>2.41513183190115E-5</v>
          </cell>
          <cell r="G11">
            <v>6.09010372527935E-5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1.2121660906568509E-4</v>
          </cell>
          <cell r="E12">
            <v>8.6472780131976334E-5</v>
          </cell>
          <cell r="F12">
            <v>8.6836159198574699E-5</v>
          </cell>
          <cell r="G12">
            <v>8.7309140607052721E-5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2.7004314564777013E-4</v>
          </cell>
          <cell r="E13">
            <v>1.0488069241603934E-2</v>
          </cell>
          <cell r="F13">
            <v>1.3204893737117701E-2</v>
          </cell>
          <cell r="G13">
            <v>3.8855983269832618E-2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2.7004314564777013E-4</v>
          </cell>
          <cell r="E14">
            <v>1.0488069241603934E-2</v>
          </cell>
          <cell r="F14">
            <v>1.3204893737117701E-2</v>
          </cell>
          <cell r="G14">
            <v>3.8855983269832618E-2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1.1244011713525701E-3</v>
          </cell>
          <cell r="F15">
            <v>8.8086144536764395E-4</v>
          </cell>
          <cell r="G15">
            <v>4.2990255505166303E-3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2.5896952972139742E-5</v>
          </cell>
          <cell r="E16">
            <v>1.1351695119772092E-3</v>
          </cell>
          <cell r="F16">
            <v>1.9394645460583245E-3</v>
          </cell>
          <cell r="G16">
            <v>5.6970432944380076E-3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2.6312351418576866E-3</v>
          </cell>
          <cell r="E17">
            <v>1.0838929443188179E-2</v>
          </cell>
          <cell r="F17">
            <v>1.598971000549948E-2</v>
          </cell>
          <cell r="G17">
            <v>0.75365426834579996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9.7914525133997368E-3</v>
          </cell>
          <cell r="E18">
            <v>3.9914238527417281E-2</v>
          </cell>
          <cell r="F18">
            <v>5.8172239882340576E-2</v>
          </cell>
          <cell r="G18">
            <v>2.5762202347614376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9.1762928364311105E-5</v>
          </cell>
          <cell r="F19">
            <v>1.1109491548235499E-4</v>
          </cell>
          <cell r="G19">
            <v>1.4049513566408401E-2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5.1929607422899018E-5</v>
          </cell>
          <cell r="E20">
            <v>2.0365637277973964E-4</v>
          </cell>
          <cell r="F20">
            <v>3.0720462489112734E-4</v>
          </cell>
          <cell r="G20">
            <v>1.4180803239640509E-2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4.6888309295433465E-2</v>
          </cell>
          <cell r="E21">
            <v>0.10465728765346596</v>
          </cell>
          <cell r="F21">
            <v>0.10963711729267106</v>
          </cell>
          <cell r="G21">
            <v>0.14624126323797113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4.6888309295433465E-2</v>
          </cell>
          <cell r="E22">
            <v>0.10465728765346596</v>
          </cell>
          <cell r="F22">
            <v>0.10963711729267106</v>
          </cell>
          <cell r="G22">
            <v>0.14624126323797113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5.1293515601592799E-4</v>
          </cell>
          <cell r="F23">
            <v>1.1782705557176799E-3</v>
          </cell>
          <cell r="G23">
            <v>4.1021882856253598E-3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4.8571634819299363E-3</v>
          </cell>
          <cell r="E24">
            <v>7.9623017473377175E-3</v>
          </cell>
          <cell r="F24">
            <v>8.8333527742429901E-3</v>
          </cell>
          <cell r="G24">
            <v>1.1139370316629335E-2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10.988383055206198</v>
          </cell>
          <cell r="E25">
            <v>12.572098295302625</v>
          </cell>
          <cell r="F25">
            <v>15.962798992960657</v>
          </cell>
          <cell r="G25">
            <v>38.857566696762568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9.2279603317018857E-2</v>
          </cell>
          <cell r="E27">
            <v>0.17296537965807698</v>
          </cell>
          <cell r="F27">
            <v>0.26986434999146314</v>
          </cell>
          <cell r="G27">
            <v>2.0490199804503972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0.12009380659009229</v>
          </cell>
          <cell r="E28">
            <v>2.3993995881145803E-2</v>
          </cell>
          <cell r="F28">
            <v>2.9129142256958802E-2</v>
          </cell>
          <cell r="G28">
            <v>8.1395094044350608E-2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0.1103710399042092</v>
          </cell>
          <cell r="E29">
            <v>2.2415073185833412E-2</v>
          </cell>
          <cell r="F29">
            <v>2.6504656415501159E-2</v>
          </cell>
          <cell r="G29">
            <v>0.75303005964314351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10.665638605394875</v>
          </cell>
          <cell r="E30">
            <v>12.35304642969769</v>
          </cell>
          <cell r="F30">
            <v>15.637667288954495</v>
          </cell>
          <cell r="G30">
            <v>35.97432896002811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4.1842817498000041E-2</v>
          </cell>
          <cell r="E31">
            <v>0.37355714118959582</v>
          </cell>
          <cell r="F31">
            <v>1.0513792682706502</v>
          </cell>
          <cell r="G31">
            <v>4.9710062250111724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4.1842817498000041E-2</v>
          </cell>
          <cell r="E32">
            <v>0.37355714118959582</v>
          </cell>
          <cell r="F32">
            <v>1.0513792682706502</v>
          </cell>
          <cell r="G32">
            <v>4.9710062250111724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1.53539220529198E-2</v>
          </cell>
          <cell r="F33">
            <v>4.8786536552920999E-2</v>
          </cell>
          <cell r="G33">
            <v>0.29551064754124901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4.0402657902614322E-3</v>
          </cell>
          <cell r="E34">
            <v>2.5741393130315513E-2</v>
          </cell>
          <cell r="F34">
            <v>7.247214574647394E-2</v>
          </cell>
          <cell r="G34">
            <v>0.34190038780595772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2.3348766953231078E-5</v>
          </cell>
          <cell r="E35">
            <v>1.0345349101696327E-2</v>
          </cell>
          <cell r="F35">
            <v>1.3024419692660771E-2</v>
          </cell>
          <cell r="G35">
            <v>4.0019013166658339E-2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2.3348766953231078E-5</v>
          </cell>
          <cell r="E36">
            <v>1.0345349101696327E-2</v>
          </cell>
          <cell r="F36">
            <v>1.3024419692660771E-2</v>
          </cell>
          <cell r="G36">
            <v>4.0019013166658339E-2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1.13680007949305E-3</v>
          </cell>
          <cell r="F37">
            <v>8.7924119738218699E-4</v>
          </cell>
          <cell r="G37">
            <v>4.5134735333671201E-3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1.5069422569588742E-6</v>
          </cell>
          <cell r="E38">
            <v>1.123166914021443E-3</v>
          </cell>
          <cell r="F38">
            <v>1.9245346919758732E-3</v>
          </cell>
          <cell r="G38">
            <v>5.8909128185001287E-3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6.5129774928634143E-2</v>
          </cell>
          <cell r="E39">
            <v>0.19489914700311281</v>
          </cell>
          <cell r="F39">
            <v>0.21884058665307157</v>
          </cell>
          <cell r="G39">
            <v>0.24124625019774806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6.5129774928634143E-2</v>
          </cell>
          <cell r="E40">
            <v>0.19489914700311281</v>
          </cell>
          <cell r="F40">
            <v>0.21884058665307157</v>
          </cell>
          <cell r="G40">
            <v>0.24124625019774806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3.0318836744398E-3</v>
          </cell>
          <cell r="F41">
            <v>2.87303237055383E-3</v>
          </cell>
          <cell r="G41">
            <v>5.1656316952394697E-3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7.235117308671944E-3</v>
          </cell>
          <cell r="E42">
            <v>1.5439618163207299E-2</v>
          </cell>
          <cell r="F42">
            <v>1.7595795588699774E-2</v>
          </cell>
          <cell r="G42">
            <v>1.9194078800756235E-2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2.9019992042068946E-5</v>
          </cell>
          <cell r="E43">
            <v>8.8499277489182265E-3</v>
          </cell>
          <cell r="F43">
            <v>2.426225475064411E-2</v>
          </cell>
          <cell r="G43">
            <v>7.3677234667547289E-2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2.9019992042068946E-5</v>
          </cell>
          <cell r="E44">
            <v>8.8499277489182265E-3</v>
          </cell>
          <cell r="F44">
            <v>2.426225475064411E-2</v>
          </cell>
          <cell r="G44">
            <v>7.3677234667547289E-2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6.8165981705873397E-4</v>
          </cell>
          <cell r="F45">
            <v>1.3241344522857E-3</v>
          </cell>
          <cell r="G45">
            <v>4.1641228181132101E-3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6.7283509062103714E-4</v>
          </cell>
          <cell r="F46">
            <v>1.9407437403485151E-3</v>
          </cell>
          <cell r="G46">
            <v>5.6058465284343677E-3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4.40315267933853E-5</v>
          </cell>
          <cell r="E49">
            <v>5.40306035574096E-5</v>
          </cell>
          <cell r="F49">
            <v>8.1082402963010704E-5</v>
          </cell>
          <cell r="G49">
            <v>1.3511804005416801E-4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2.0938340246585653E-3</v>
          </cell>
          <cell r="E50">
            <v>2.1478646282159747E-3</v>
          </cell>
          <cell r="F50">
            <v>2.2289470311789858E-3</v>
          </cell>
          <cell r="G50">
            <v>2.3640650712331542E-3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2.1980876605530485E-4</v>
          </cell>
          <cell r="E51">
            <v>0.16813802396124963</v>
          </cell>
          <cell r="F51">
            <v>0.84726035832866553</v>
          </cell>
          <cell r="G51">
            <v>3.5162773971313337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2.1980876605530485E-4</v>
          </cell>
          <cell r="E52">
            <v>0.16813802396124963</v>
          </cell>
          <cell r="F52">
            <v>0.84726035832866553</v>
          </cell>
          <cell r="G52">
            <v>3.5162773971313337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1.17205678542446E-2</v>
          </cell>
          <cell r="F53">
            <v>4.8057431120459702E-2</v>
          </cell>
          <cell r="G53">
            <v>0.20184916740907299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4.013753844852821E-6</v>
          </cell>
          <cell r="E54">
            <v>1.156849404315257E-2</v>
          </cell>
          <cell r="F54">
            <v>5.8323733122126409E-2</v>
          </cell>
          <cell r="G54">
            <v>0.24182333836203476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3.1550796499823256E-3</v>
          </cell>
          <cell r="E55">
            <v>5.2250073941965958E-2</v>
          </cell>
          <cell r="F55">
            <v>8.7715512359107642E-2</v>
          </cell>
          <cell r="G55">
            <v>0.13704880371612743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3.1550796499823256E-3</v>
          </cell>
          <cell r="E56">
            <v>5.2250073941965958E-2</v>
          </cell>
          <cell r="F56">
            <v>8.7715512359107642E-2</v>
          </cell>
          <cell r="G56">
            <v>0.13704880371612743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3.5154114790280099E-3</v>
          </cell>
          <cell r="F57">
            <v>3.1827842165952701E-3</v>
          </cell>
          <cell r="G57">
            <v>5.2868389030913902E-3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2.5883004702203827E-4</v>
          </cell>
          <cell r="E58">
            <v>4.1482161396717955E-3</v>
          </cell>
          <cell r="F58">
            <v>7.0624102310165304E-3</v>
          </cell>
          <cell r="G58">
            <v>1.0902234661451097E-2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2.8263338012571438E-5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1.2057647434999166E-4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5.3291842188817103E-7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5.3291842188817103E-7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2.7037760691607846E-4</v>
          </cell>
          <cell r="E63">
            <v>9.4205086167477234E-3</v>
          </cell>
          <cell r="F63">
            <v>1.1556324504919335E-2</v>
          </cell>
          <cell r="G63">
            <v>3.1070018475215462E-2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2.7958753205819999E-2</v>
          </cell>
          <cell r="E64">
            <v>0.97414012385538096</v>
          </cell>
          <cell r="F64">
            <v>1.1949969839761749</v>
          </cell>
          <cell r="G64">
            <v>3.2128362572512978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3.7884489438780506E-4</v>
          </cell>
          <cell r="E65">
            <v>1.3199730675547194E-2</v>
          </cell>
          <cell r="F65">
            <v>1.6192371056587721E-2</v>
          </cell>
          <cell r="G65">
            <v>4.3534366629421332E-2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G66">
            <v>1.7651240878267877E-5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G67">
            <v>1.043825120630263E-4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G68">
            <v>2.2063892831637101E-7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G69">
            <v>2.2063892831637101E-7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D70">
            <v>5.2580846741960201</v>
          </cell>
          <cell r="E70">
            <v>11.58203171963078</v>
          </cell>
          <cell r="F70">
            <v>11.763821887056718</v>
          </cell>
          <cell r="G70">
            <v>14.104179790402931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D71">
            <v>4.1752337135842393E-2</v>
          </cell>
          <cell r="E71">
            <v>9.1968258983958856E-2</v>
          </cell>
          <cell r="F71">
            <v>9.3411781640716021E-2</v>
          </cell>
          <cell r="G71">
            <v>0.11199562314455881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D72">
            <v>7.1247759812954198E-2</v>
          </cell>
          <cell r="E72">
            <v>0.15693809918198898</v>
          </cell>
          <cell r="F72">
            <v>0.15940138058342432</v>
          </cell>
          <cell r="G72">
            <v>0.19111354729543278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G73">
            <v>1.8261361362408397E-5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G74">
            <v>1.6145010233653467E-4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  <cell r="G75">
            <v>2.3316454417053499E-7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G76">
            <v>2.3316454417053499E-7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E77">
            <v>1.1750161281929127E-3</v>
          </cell>
          <cell r="F77">
            <v>1.8529873803534559E-3</v>
          </cell>
          <cell r="G77">
            <v>2.5364250162718312E-2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E78">
            <v>1.1750161281929125E-3</v>
          </cell>
          <cell r="F78">
            <v>1.8529873803534559E-3</v>
          </cell>
          <cell r="G78">
            <v>2.5364250162718305E-2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E79">
            <v>1.2128254333740741E-3</v>
          </cell>
          <cell r="F79">
            <v>1.9303635287773069E-3</v>
          </cell>
          <cell r="G79">
            <v>2.549071040190052E-2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E80">
            <v>1.2128254333740741E-3</v>
          </cell>
          <cell r="F80">
            <v>1.9303635287773069E-3</v>
          </cell>
          <cell r="G80">
            <v>2.549071040190052E-2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E81">
            <v>9.0829925383816401E-2</v>
          </cell>
          <cell r="F81">
            <v>5.7673680056318302E-2</v>
          </cell>
          <cell r="G81">
            <v>0.39859948091985198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E82">
            <v>9.0829925383816401E-2</v>
          </cell>
          <cell r="F82">
            <v>0.14845843974048525</v>
          </cell>
          <cell r="G82">
            <v>0.54696062716602289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D83">
            <v>5.6604835703303698</v>
          </cell>
          <cell r="E83">
            <v>42.515039072476696</v>
          </cell>
          <cell r="F83">
            <v>114.93592353010041</v>
          </cell>
          <cell r="G83">
            <v>474.20182050413075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D84">
            <v>4.1842826717428797E-2</v>
          </cell>
          <cell r="E84">
            <v>0.31427516583897319</v>
          </cell>
          <cell r="F84">
            <v>0.84961715233756141</v>
          </cell>
          <cell r="G84">
            <v>3.5053444388472261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D85">
            <v>7.670031938117032E-2</v>
          </cell>
          <cell r="E85">
            <v>0.57608454027746359</v>
          </cell>
          <cell r="F85">
            <v>1.5573973378062411</v>
          </cell>
          <cell r="G85">
            <v>6.425498922820216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G86">
            <v>1.2420792818835754E-5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G87">
            <v>1.6365403201133697E-4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  <cell r="G88">
            <v>1.25182646828807E-7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G89">
            <v>1.25182646828807E-7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D90">
            <v>3.3980694243485477E-3</v>
          </cell>
          <cell r="E90">
            <v>9.1616082487121549E-3</v>
          </cell>
          <cell r="F90">
            <v>1.3199671742255262E-2</v>
          </cell>
          <cell r="G90">
            <v>4.2181252212448825E-2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D91">
            <v>3.3980694243485477E-3</v>
          </cell>
          <cell r="E91">
            <v>9.1616082487121532E-3</v>
          </cell>
          <cell r="F91">
            <v>1.3199671742255262E-2</v>
          </cell>
          <cell r="G91">
            <v>4.2181252212448818E-2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D92">
            <v>3.4335120730159155E-3</v>
          </cell>
          <cell r="E92">
            <v>9.2396244126089575E-3</v>
          </cell>
          <cell r="F92">
            <v>1.334373578126003E-2</v>
          </cell>
          <cell r="G92">
            <v>4.2333124363522719E-2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D93">
            <v>3.4335120730159155E-3</v>
          </cell>
          <cell r="E93">
            <v>9.2396244126089575E-3</v>
          </cell>
          <cell r="F93">
            <v>1.334373578126003E-2</v>
          </cell>
          <cell r="G93">
            <v>4.2333124363522719E-2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D94">
            <v>0.265256718916137</v>
          </cell>
          <cell r="E94">
            <v>0.25835644852984901</v>
          </cell>
          <cell r="F94">
            <v>0.31526023422807398</v>
          </cell>
          <cell r="G94">
            <v>0.49291617174561803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D95">
            <v>0.265256718916137</v>
          </cell>
          <cell r="E95">
            <v>0.52348880310322232</v>
          </cell>
          <cell r="F95">
            <v>0.83844125528826563</v>
          </cell>
          <cell r="G95">
            <v>1.3309345921549731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D96">
            <v>9.2477629988184091</v>
          </cell>
          <cell r="E96">
            <v>23.581040548970201</v>
          </cell>
          <cell r="F96">
            <v>25.52430803638148</v>
          </cell>
          <cell r="G96">
            <v>24.801032198685199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D97">
            <v>6.5129774928634213E-2</v>
          </cell>
          <cell r="E97">
            <v>0.1660756080939424</v>
          </cell>
          <cell r="F97">
            <v>0.17976157453765423</v>
          </cell>
          <cell r="G97">
            <v>0.17466771643094253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D98">
            <v>0.12530844171840649</v>
          </cell>
          <cell r="E98">
            <v>0.31952629470149346</v>
          </cell>
          <cell r="F98">
            <v>0.34585783247129392</v>
          </cell>
          <cell r="G98">
            <v>0.33605734686565342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E99">
            <v>6.1269988963049783E-2</v>
          </cell>
          <cell r="F99">
            <v>0.25994820716762895</v>
          </cell>
          <cell r="G99">
            <v>1.7981830555992155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E100">
            <v>6.1269988963049769E-2</v>
          </cell>
          <cell r="F100">
            <v>0.25994820716762895</v>
          </cell>
          <cell r="G100">
            <v>1.7981830555992151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E101">
            <v>6.1322057508058643E-2</v>
          </cell>
          <cell r="F101">
            <v>0.26006021463081486</v>
          </cell>
          <cell r="G101">
            <v>1.7984872700473518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E102">
            <v>6.1322057508058643E-2</v>
          </cell>
          <cell r="F102">
            <v>0.26006021463081486</v>
          </cell>
          <cell r="G102">
            <v>1.7984872700473518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E103">
            <v>2.3754199303947399</v>
          </cell>
          <cell r="F103">
            <v>8.4801398001596109</v>
          </cell>
          <cell r="G103">
            <v>42.609226244831802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E104">
            <v>2.3754199303947399</v>
          </cell>
          <cell r="F104">
            <v>10.854353439392606</v>
          </cell>
          <cell r="G104">
            <v>53.455409493013207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E105">
            <v>15.269850457960199</v>
          </cell>
          <cell r="F105">
            <v>119.2123211919085</v>
          </cell>
          <cell r="G105">
            <v>88.028747222893358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E106">
            <v>9.5987070062571622E-2</v>
          </cell>
          <cell r="F106">
            <v>0.74937481922780114</v>
          </cell>
          <cell r="G106">
            <v>0.55335325977599581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E107">
            <v>0.20831992439236316</v>
          </cell>
          <cell r="F107">
            <v>1.6263618170792393</v>
          </cell>
          <cell r="G107">
            <v>1.2009378884432929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  <cell r="E108">
            <v>6.7094236436467999E-3</v>
          </cell>
          <cell r="F108">
            <v>4.5751878065639899E-2</v>
          </cell>
          <cell r="G108">
            <v>3.4302271659534902E-3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E109">
            <v>6.7094236436467999E-3</v>
          </cell>
          <cell r="F109">
            <v>5.2461006499486013E-2</v>
          </cell>
          <cell r="G109">
            <v>5.500213081329311E-2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D110">
            <v>8.0404380388603451E-4</v>
          </cell>
          <cell r="E110">
            <v>2.4770105580335529E-3</v>
          </cell>
          <cell r="F110">
            <v>2.4925966819578241E-3</v>
          </cell>
          <cell r="G110">
            <v>9.455148011890094E-4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D111">
            <v>4.6087908476744157E-3</v>
          </cell>
          <cell r="E111">
            <v>1.4122655236471049E-2</v>
          </cell>
          <cell r="F111">
            <v>1.4181376923106181E-2</v>
          </cell>
          <cell r="G111">
            <v>5.2476662131087483E-3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E112">
            <v>4.0258976701460997E-6</v>
          </cell>
          <cell r="F112">
            <v>3.8834709868793699E-6</v>
          </cell>
          <cell r="G112">
            <v>6.7609010957936497E-6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D113">
            <v>1.3980072444518664E-5</v>
          </cell>
          <cell r="E113">
            <v>4.7282724270338371E-5</v>
          </cell>
          <cell r="F113">
            <v>5.0748974402082048E-5</v>
          </cell>
          <cell r="G113">
            <v>1.7958340226225339E-5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E114">
            <v>2.7274012477276833E-2</v>
          </cell>
          <cell r="F114">
            <v>4.0731468455580989E-2</v>
          </cell>
          <cell r="G114">
            <v>8.2847736877723829E-2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E115">
            <v>2.7274012477276833E-2</v>
          </cell>
          <cell r="F115">
            <v>4.0731468455580983E-2</v>
          </cell>
          <cell r="G115">
            <v>8.2847736877723829E-2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E116">
            <v>2.7324013260082432E-2</v>
          </cell>
          <cell r="F116">
            <v>4.0821552052504789E-2</v>
          </cell>
          <cell r="G116">
            <v>8.2980400639005844E-2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E117">
            <v>2.7324013260082432E-2</v>
          </cell>
          <cell r="F117">
            <v>4.0821552052504789E-2</v>
          </cell>
          <cell r="G117">
            <v>8.2980400639005844E-2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E118">
            <v>0.55878150993846998</v>
          </cell>
          <cell r="F118">
            <v>0.52799078838045299</v>
          </cell>
          <cell r="G118">
            <v>0.90164569678507001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E119">
            <v>0.55878150993846998</v>
          </cell>
          <cell r="F119">
            <v>1.0866605076941445</v>
          </cell>
          <cell r="G119">
            <v>1.9879736970621327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  <cell r="D120">
            <v>61.376655447472501</v>
          </cell>
          <cell r="E120">
            <v>128.43179679945999</v>
          </cell>
          <cell r="F120">
            <v>40.867610333111102</v>
          </cell>
          <cell r="G120">
            <v>20.040376359342801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  <cell r="D121">
            <v>0.23085544539155137</v>
          </cell>
          <cell r="E121">
            <v>0.48757154799947011</v>
          </cell>
          <cell r="F121">
            <v>0.15729653438406543</v>
          </cell>
          <cell r="G121">
            <v>7.7133987609815685E-2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  <cell r="D122">
            <v>0.83166199793323137</v>
          </cell>
          <cell r="E122">
            <v>1.74026824931518</v>
          </cell>
          <cell r="F122">
            <v>0.55376165763023222</v>
          </cell>
          <cell r="G122">
            <v>0.27154981516724613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  <cell r="D123">
            <v>4.5952E-2</v>
          </cell>
          <cell r="E123">
            <v>3.98250666666667E-2</v>
          </cell>
          <cell r="F123">
            <v>3.0634400681765206E-2</v>
          </cell>
          <cell r="G123">
            <v>1.5317247261841105E-2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D124">
            <v>2.5094987379160001E-2</v>
          </cell>
          <cell r="E124">
            <v>2.6556501260762151E-2</v>
          </cell>
          <cell r="F124">
            <v>2.9125486040344664E-2</v>
          </cell>
          <cell r="G124">
            <v>3.1625136207197736E-2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D125">
            <v>1.5023311167954285</v>
          </cell>
          <cell r="E125">
            <v>1.58982579247647</v>
          </cell>
          <cell r="F125">
            <v>1.7436200827316508</v>
          </cell>
          <cell r="G125">
            <v>1.893263601974257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D126">
            <v>2.6519457834630798E-6</v>
          </cell>
          <cell r="E126">
            <v>1.3316798355705799E-4</v>
          </cell>
          <cell r="F126">
            <v>2.3721675525588699E-4</v>
          </cell>
          <cell r="G126">
            <v>2.3026050916727801E-4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D127">
            <v>2.3193164334666429E-3</v>
          </cell>
          <cell r="E127">
            <v>2.4524844170237007E-3</v>
          </cell>
          <cell r="F127">
            <v>2.6896673863221346E-3</v>
          </cell>
          <cell r="G127">
            <v>2.9199500178138131E-3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  <cell r="D128">
            <v>814.07834168813599</v>
          </cell>
          <cell r="E128">
            <v>549.03626873974497</v>
          </cell>
          <cell r="F128">
            <v>400.840399473113</v>
          </cell>
          <cell r="G128">
            <v>199.81605967488801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  <cell r="D129">
            <v>2.8768910679731654</v>
          </cell>
          <cell r="E129">
            <v>2.0069220302618147</v>
          </cell>
          <cell r="F129">
            <v>1.5382247735055503</v>
          </cell>
          <cell r="G129">
            <v>0.76679399965719586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  <cell r="D130">
            <v>11.106116530533903</v>
          </cell>
          <cell r="E130">
            <v>7.4902628750306288</v>
          </cell>
          <cell r="F130">
            <v>5.4684911251447881</v>
          </cell>
          <cell r="G130">
            <v>2.7260035426314948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  <cell r="D131">
            <v>0.228993</v>
          </cell>
          <cell r="E131">
            <v>0.19846059999999999</v>
          </cell>
          <cell r="F131">
            <v>0.15264877060509788</v>
          </cell>
          <cell r="G131">
            <v>7.6330725922629725E-2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D132">
            <v>0.20390290081791612</v>
          </cell>
          <cell r="E132">
            <v>0.2316648111686373</v>
          </cell>
          <cell r="F132">
            <v>0.24545930858055431</v>
          </cell>
          <cell r="G132">
            <v>0.16268456404881679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D133">
            <v>2.2290503464519043E-3</v>
          </cell>
          <cell r="E133">
            <v>2.5046079326976616E-3</v>
          </cell>
          <cell r="F133">
            <v>2.6217632300642901E-3</v>
          </cell>
          <cell r="G133">
            <v>1.7179765053750777E-3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D134">
            <v>3.6152996598921281E-3</v>
          </cell>
          <cell r="E134">
            <v>4.1075321129190982E-3</v>
          </cell>
          <cell r="F134">
            <v>4.3521154003644449E-3</v>
          </cell>
          <cell r="G134">
            <v>2.8844780859719299E-3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  <cell r="E135">
            <v>4.5266687483208297E-5</v>
          </cell>
          <cell r="F135">
            <v>5.1571661629886503E-5</v>
          </cell>
          <cell r="G135">
            <v>3.7893429035077198E-5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D136">
            <v>2.5616397081194245E-4</v>
          </cell>
          <cell r="E136">
            <v>2.9042783015163271E-4</v>
          </cell>
          <cell r="F136">
            <v>3.3952347085270681E-4</v>
          </cell>
          <cell r="G136">
            <v>2.0029133630795505E-4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D137">
            <v>0.75887279069156521</v>
          </cell>
          <cell r="E137">
            <v>1.7790897212910692</v>
          </cell>
          <cell r="F137">
            <v>4.4611062106630781</v>
          </cell>
          <cell r="G137">
            <v>18.547844650195096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D138">
            <v>0.75887279069156521</v>
          </cell>
          <cell r="E138">
            <v>1.7790897212910692</v>
          </cell>
          <cell r="F138">
            <v>4.4611062106630781</v>
          </cell>
          <cell r="G138">
            <v>18.547844650195096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D139">
            <v>1.4228496410103101E-5</v>
          </cell>
          <cell r="E139">
            <v>7.9475407614687799E-6</v>
          </cell>
          <cell r="F139">
            <v>1.0254397935027399</v>
          </cell>
          <cell r="G139">
            <v>9.1559442141497698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D140">
            <v>1.2762721855544601</v>
          </cell>
          <cell r="E140">
            <v>1.2762801330952214</v>
          </cell>
          <cell r="F140">
            <v>2.30171992659796</v>
          </cell>
          <cell r="G140">
            <v>11.457664140747751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D141">
            <v>2.876450800608024</v>
          </cell>
          <cell r="E141">
            <v>2.9409652180507839</v>
          </cell>
          <cell r="F141">
            <v>3.0550089185334501</v>
          </cell>
          <cell r="G141">
            <v>0.63165564159765664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D142">
            <v>3.2207778514484517E-2</v>
          </cell>
          <cell r="E142">
            <v>3.3052267161579239E-2</v>
          </cell>
          <cell r="F142">
            <v>3.3799698204680866E-2</v>
          </cell>
          <cell r="G142">
            <v>6.1750877591011666E-3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D143">
            <v>5.1000900720000422E-2</v>
          </cell>
          <cell r="E143">
            <v>5.2144773369694718E-2</v>
          </cell>
          <cell r="F143">
            <v>5.4166824796692443E-2</v>
          </cell>
          <cell r="G143">
            <v>1.1199568113433638E-2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  <cell r="E144">
            <v>3.4153313293212902E-5</v>
          </cell>
          <cell r="F144">
            <v>5.2802614511805299E-5</v>
          </cell>
          <cell r="G144">
            <v>3.4823162589783002E-5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D145">
            <v>2.6900174830049423E-3</v>
          </cell>
          <cell r="E145">
            <v>2.6527668725691506E-3</v>
          </cell>
          <cell r="F145">
            <v>2.6636941312835512E-3</v>
          </cell>
          <cell r="G145">
            <v>4.8233846230312212E-4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D146">
            <v>322.44588117845615</v>
          </cell>
          <cell r="E146">
            <v>384.94909044842353</v>
          </cell>
          <cell r="F146">
            <v>377.67313175371953</v>
          </cell>
          <cell r="G146">
            <v>158.76415194422739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D147">
            <v>1.5049579228836167</v>
          </cell>
          <cell r="E147">
            <v>1.7966803652752117</v>
          </cell>
          <cell r="F147">
            <v>1.7627211419657105</v>
          </cell>
          <cell r="G147">
            <v>0.7410030094511475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D148">
            <v>4.3989888291740282</v>
          </cell>
          <cell r="E148">
            <v>5.2516929119839455</v>
          </cell>
          <cell r="F148">
            <v>5.1524301739934444</v>
          </cell>
          <cell r="G148">
            <v>2.1659502311627272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  <cell r="E149">
            <v>3.52397960440414E-4</v>
          </cell>
          <cell r="F149">
            <v>1.6459100613071701E-3</v>
          </cell>
          <cell r="G149">
            <v>8.0739535086164803E-4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D150">
            <v>0.10616067873160853</v>
          </cell>
          <cell r="E150">
            <v>0.1254968048311933</v>
          </cell>
          <cell r="F150">
            <v>0.12714439780081918</v>
          </cell>
          <cell r="G150">
            <v>7.3597664614263786E-2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D151">
            <v>0.26947804419943011</v>
          </cell>
          <cell r="E151">
            <v>0.33455341521042203</v>
          </cell>
          <cell r="F151">
            <v>0.44261986393296776</v>
          </cell>
          <cell r="G151">
            <v>0.41356033242225088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D152">
            <v>2.2483731975374813E-3</v>
          </cell>
          <cell r="E152">
            <v>2.8871316350043124E-3</v>
          </cell>
          <cell r="F152">
            <v>3.8279842977189593E-3</v>
          </cell>
          <cell r="G152">
            <v>3.5122311713715218E-3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D153">
            <v>4.7779795070820906E-3</v>
          </cell>
          <cell r="E153">
            <v>5.931798142028751E-3</v>
          </cell>
          <cell r="F153">
            <v>7.8478699278894878E-3</v>
          </cell>
          <cell r="G153">
            <v>7.3326300074867323E-3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  <cell r="E154">
            <v>4.2165185010571899E-5</v>
          </cell>
          <cell r="F154">
            <v>6.1600997243597399E-5</v>
          </cell>
          <cell r="G154">
            <v>3.5210872990832798E-5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D155">
            <v>1.509914908466808E-4</v>
          </cell>
          <cell r="E155">
            <v>1.9639819204006779E-4</v>
          </cell>
          <cell r="F155">
            <v>2.5581643863092321E-4</v>
          </cell>
          <cell r="G155">
            <v>2.311601671746478E-4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D156">
            <v>2.6858962576044787</v>
          </cell>
          <cell r="E156">
            <v>2.7010791647537404</v>
          </cell>
          <cell r="F156">
            <v>2.5950971442430544</v>
          </cell>
          <cell r="G156">
            <v>0.33213292940948486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D157">
            <v>3.2513786746818991E-2</v>
          </cell>
          <cell r="E157">
            <v>3.241706271946581E-2</v>
          </cell>
          <cell r="F157">
            <v>3.0747016428521508E-2</v>
          </cell>
          <cell r="G157">
            <v>3.22424118941612E-3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D158">
            <v>4.7622274071001489E-2</v>
          </cell>
          <cell r="E158">
            <v>4.7891474552371319E-2</v>
          </cell>
          <cell r="F158">
            <v>4.6012360713529252E-2</v>
          </cell>
          <cell r="G158">
            <v>5.8888817271185246E-3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  <cell r="E159">
            <v>4.3208942843573597E-5</v>
          </cell>
          <cell r="F159">
            <v>6.3537765715635102E-5</v>
          </cell>
          <cell r="G159">
            <v>3.8038243543099198E-5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D160">
            <v>2.60743625399938E-3</v>
          </cell>
          <cell r="E160">
            <v>2.570472494382167E-3</v>
          </cell>
          <cell r="F160">
            <v>2.4542331392227012E-3</v>
          </cell>
          <cell r="G160">
            <v>2.6048142752979207E-4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E161">
            <v>0.38561874373514399</v>
          </cell>
          <cell r="F161">
            <v>0.7372752700693721</v>
          </cell>
          <cell r="G161">
            <v>1.0290069247189351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E162">
            <v>2.7086125803752101E-3</v>
          </cell>
          <cell r="F162">
            <v>5.3843627285739461E-3</v>
          </cell>
          <cell r="G162">
            <v>7.8818516363841455E-3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E163">
            <v>5.2251862294734877E-3</v>
          </cell>
          <cell r="F163">
            <v>9.9901798112381063E-3</v>
          </cell>
          <cell r="G163">
            <v>1.3943183261774164E-2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  <cell r="E164">
            <v>3.1861209575087301E-4</v>
          </cell>
          <cell r="F164">
            <v>4.9356385671939305E-4</v>
          </cell>
          <cell r="G164">
            <v>4.6272560479405602E-4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E165">
            <v>3.1437036483584802E-4</v>
          </cell>
          <cell r="F165">
            <v>7.8336918597091696E-4</v>
          </cell>
          <cell r="G165">
            <v>1.10480659379235E-3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D166">
            <v>2.7120999999999972E-2</v>
          </cell>
          <cell r="E166">
            <v>2.7782165745480814E-2</v>
          </cell>
          <cell r="F166">
            <v>2.8832315767707572E-2</v>
          </cell>
          <cell r="G166">
            <v>3.0543631535415186E-2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D167">
            <v>0.2816422643485601</v>
          </cell>
          <cell r="E167">
            <v>0.30668648626079364</v>
          </cell>
          <cell r="F167">
            <v>0.35149986092475399</v>
          </cell>
          <cell r="G167">
            <v>0.45078090930791764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E168">
            <v>0.34762369097276902</v>
          </cell>
          <cell r="F168">
            <v>0.99221408881808804</v>
          </cell>
          <cell r="G168">
            <v>1.3113231216905761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E169">
            <v>1.9658030804223432E-3</v>
          </cell>
          <cell r="F169">
            <v>5.8776644292743464E-3</v>
          </cell>
          <cell r="G169">
            <v>8.1052224451632106E-3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E170">
            <v>4.710348116162175E-3</v>
          </cell>
          <cell r="F170">
            <v>1.3444635349838592E-2</v>
          </cell>
          <cell r="G170">
            <v>1.7768605984967153E-2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  <cell r="E171">
            <v>1.6310258839733201E-4</v>
          </cell>
          <cell r="F171">
            <v>3.6591970991256599E-4</v>
          </cell>
          <cell r="G171">
            <v>2.4338677524886099E-4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E172">
            <v>1.6093117902288501E-4</v>
          </cell>
          <cell r="F172">
            <v>5.1276785596746002E-4</v>
          </cell>
          <cell r="G172">
            <v>6.6998433071625602E-4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E173">
            <v>0.31274700323689503</v>
          </cell>
          <cell r="F173">
            <v>0.57160734107352806</v>
          </cell>
          <cell r="G173">
            <v>0.78368327088775902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E174">
            <v>2.3980204899592336E-3</v>
          </cell>
          <cell r="F174">
            <v>4.5210762304691357E-3</v>
          </cell>
          <cell r="G174">
            <v>6.4430916944571218E-3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E175">
            <v>4.2666712583478142E-3</v>
          </cell>
          <cell r="F175">
            <v>7.7981901919990269E-3</v>
          </cell>
          <cell r="G175">
            <v>1.0691449807472823E-2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  <cell r="E176">
            <v>2.8117851035941303E-4</v>
          </cell>
          <cell r="F176">
            <v>3.9614217116034403E-4</v>
          </cell>
          <cell r="G176">
            <v>3.5707814689522199E-4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E177">
            <v>2.77435138416105E-4</v>
          </cell>
          <cell r="F177">
            <v>6.5242338728946196E-4</v>
          </cell>
          <cell r="G177">
            <v>8.9217492029737804E-4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E178">
            <v>0.456712635709624</v>
          </cell>
          <cell r="F178">
            <v>1.206169595071573</v>
          </cell>
          <cell r="G178">
            <v>1.439526932217934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E179">
            <v>2.4009588096443098E-3</v>
          </cell>
          <cell r="F179">
            <v>6.6296719150267178E-3</v>
          </cell>
          <cell r="G179">
            <v>8.2192878022129597E-3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E180">
            <v>6.1885180990463983E-3</v>
          </cell>
          <cell r="F180">
            <v>1.634376145083432E-2</v>
          </cell>
          <cell r="G180">
            <v>1.9505784989402912E-2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  <cell r="E181">
            <v>1.77609523635485E-4</v>
          </cell>
          <cell r="F181">
            <v>3.3092130425557698E-4</v>
          </cell>
          <cell r="G181">
            <v>1.9483607305095801E-4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E182">
            <v>1.75244981242855E-4</v>
          </cell>
          <cell r="F182">
            <v>4.9172988840748397E-4</v>
          </cell>
          <cell r="G182">
            <v>6.0442619453453901E-4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E183">
            <v>0.296411804493034</v>
          </cell>
          <cell r="F183">
            <v>0.76687449452337597</v>
          </cell>
          <cell r="G183">
            <v>0.98678924777243004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E184">
            <v>1.8282156736666552E-3</v>
          </cell>
          <cell r="F184">
            <v>4.9075163393193892E-3</v>
          </cell>
          <cell r="G184">
            <v>6.5452983153249707E-3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E185">
            <v>4.0438172509281601E-3</v>
          </cell>
          <cell r="F185">
            <v>1.0462134986676341E-2</v>
          </cell>
          <cell r="G185">
            <v>1.3462336258832605E-2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  <cell r="E186">
            <v>1.49505281852152E-4</v>
          </cell>
          <cell r="F186">
            <v>2.82748697735677E-4</v>
          </cell>
          <cell r="G186">
            <v>1.9282859071547201E-4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E187">
            <v>1.4751489547181899E-4</v>
          </cell>
          <cell r="F187">
            <v>4.1805575886992699E-4</v>
          </cell>
          <cell r="G187">
            <v>5.3974750101408995E-4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E188">
            <v>0.53808486304684999</v>
          </cell>
          <cell r="F188">
            <v>1.5067854801159162</v>
          </cell>
          <cell r="G188">
            <v>1.7712340731783911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E189">
            <v>2.8677778697233256E-3</v>
          </cell>
          <cell r="F189">
            <v>8.39998395522892E-3</v>
          </cell>
          <cell r="G189">
            <v>1.0223917124167717E-2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E190">
            <v>7.2911228055128627E-3</v>
          </cell>
          <cell r="F190">
            <v>2.0417147427044927E-2</v>
          </cell>
          <cell r="G190">
            <v>2.4000461696184167E-2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  <cell r="E191">
            <v>2.4193715345735599E-4</v>
          </cell>
          <cell r="F191">
            <v>5.0507953656970801E-4</v>
          </cell>
          <cell r="G191">
            <v>2.6739176910912102E-4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E192">
            <v>2.38716207620712E-4</v>
          </cell>
          <cell r="F192">
            <v>7.2340774290020795E-4</v>
          </cell>
          <cell r="G192">
            <v>8.7233148999211303E-4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E193">
            <v>0.37182087476796299</v>
          </cell>
          <cell r="F193">
            <v>0.88750535720073798</v>
          </cell>
          <cell r="G193">
            <v>1.0536645418289581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E194">
            <v>2.1319158746760086E-3</v>
          </cell>
          <cell r="F194">
            <v>5.2703143471622719E-3</v>
          </cell>
          <cell r="G194">
            <v>6.4650101546145505E-3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E195">
            <v>5.07259037882623E-3</v>
          </cell>
          <cell r="F195">
            <v>1.2107849347895468E-2</v>
          </cell>
          <cell r="G195">
            <v>1.4374686791663833E-2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  <cell r="E196">
            <v>1.5651154429672701E-4</v>
          </cell>
          <cell r="F196">
            <v>2.4726582929399202E-4</v>
          </cell>
          <cell r="G196">
            <v>1.5233443295633599E-4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E197">
            <v>1.54427882487099E-4</v>
          </cell>
          <cell r="F197">
            <v>3.89562575957813E-4</v>
          </cell>
          <cell r="G197">
            <v>4.7580632677896202E-4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E198">
            <v>1.5751141594673099</v>
          </cell>
          <cell r="F198">
            <v>1.906196197373067</v>
          </cell>
          <cell r="G198">
            <v>1.575576605956016E-2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E199">
            <v>3.4921913981897272E-3</v>
          </cell>
          <cell r="F199">
            <v>4.2665476513924008E-3</v>
          </cell>
          <cell r="G199">
            <v>3.7116658101557219E-5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E200">
            <v>2.1488596991368427E-2</v>
          </cell>
          <cell r="F200">
            <v>2.6005405148336505E-2</v>
          </cell>
          <cell r="G200">
            <v>2.1494905947558231E-4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E201">
            <v>7.7768263973979006E-5</v>
          </cell>
          <cell r="F201">
            <v>1.95870801698104E-5</v>
          </cell>
          <cell r="G201">
            <v>2.5439386161630998E-7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E202">
            <v>7.7768263973979006E-5</v>
          </cell>
          <cell r="F202">
            <v>9.6442351246080042E-5</v>
          </cell>
          <cell r="G202">
            <v>6.0730231772940626E-7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E203">
            <v>0.29127231288781302</v>
          </cell>
          <cell r="F203">
            <v>0.66316429566392809</v>
          </cell>
          <cell r="G203">
            <v>0.79679900769849099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E204">
            <v>1.5872316024544359E-3</v>
          </cell>
          <cell r="F204">
            <v>3.737431508930016E-3</v>
          </cell>
          <cell r="G204">
            <v>4.6453621391426836E-3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E205">
            <v>3.9737014036536587E-3</v>
          </cell>
          <cell r="F205">
            <v>9.047261878089052E-3</v>
          </cell>
          <cell r="G205">
            <v>1.0870382096841612E-2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  <cell r="E206">
            <v>1.3500130498491801E-4</v>
          </cell>
          <cell r="F206">
            <v>2.0120875051613099E-4</v>
          </cell>
          <cell r="G206">
            <v>1.34880904344834E-4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E207">
            <v>1.3320401223752999E-4</v>
          </cell>
          <cell r="F207">
            <v>3.2410961813973303E-4</v>
          </cell>
          <cell r="G207">
            <v>4.0324216068371102E-4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E208">
            <v>0.206802213298168</v>
          </cell>
          <cell r="F208">
            <v>0.37488457603200598</v>
          </cell>
          <cell r="G208">
            <v>2.6939995053107957E-2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E209">
            <v>3.2866580437831353E-4</v>
          </cell>
          <cell r="F209">
            <v>6.0898841034704246E-4</v>
          </cell>
          <cell r="G209">
            <v>4.5340612464173049E-5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E210">
            <v>2.82131259615509E-3</v>
          </cell>
          <cell r="F210">
            <v>5.1143871218554829E-3</v>
          </cell>
          <cell r="G210">
            <v>3.6753062828250987E-4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E211">
            <v>7.6129508442832501E-6</v>
          </cell>
          <cell r="F211">
            <v>6.1795812980324403E-6</v>
          </cell>
          <cell r="G211">
            <v>2.26784418669213E-7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E212">
            <v>7.6129508442832501E-6</v>
          </cell>
          <cell r="F212">
            <v>1.3742378178404533E-5</v>
          </cell>
          <cell r="G212">
            <v>6.1570014628680132E-7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  <cell r="D213">
            <v>0.41607209159050434</v>
          </cell>
          <cell r="E213">
            <v>0.36072601065105986</v>
          </cell>
          <cell r="F213">
            <v>0.2772929438843833</v>
          </cell>
          <cell r="G213">
            <v>0.13873048884991923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  <cell r="D214">
            <v>0.46775321103068807</v>
          </cell>
          <cell r="E214">
            <v>0.37695569892784792</v>
          </cell>
          <cell r="F214">
            <v>0.26206799058819863</v>
          </cell>
          <cell r="G214">
            <v>0.11309438201948849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  <cell r="D215">
            <v>4.2040000000000001E-2</v>
          </cell>
          <cell r="E215">
            <v>3.6434666666666699E-2</v>
          </cell>
          <cell r="F215">
            <v>2.801066841291143E-2</v>
          </cell>
          <cell r="G215">
            <v>1.4013021769846845E-2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D216">
            <v>8934.8483903432807</v>
          </cell>
          <cell r="E216">
            <v>8259.86546306114</v>
          </cell>
          <cell r="F216">
            <v>6998.8545337887799</v>
          </cell>
          <cell r="G216">
            <v>4163.9431963346597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D217">
            <v>120.10287752597347</v>
          </cell>
          <cell r="E217">
            <v>111.02970825596023</v>
          </cell>
          <cell r="F217">
            <v>94.079108247906248</v>
          </cell>
          <cell r="G217">
            <v>55.972025252828871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D218">
            <v>121.89424816293706</v>
          </cell>
          <cell r="E218">
            <v>112.68574983712354</v>
          </cell>
          <cell r="F218">
            <v>95.48232651826433</v>
          </cell>
          <cell r="G218">
            <v>56.806864888603791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E219">
            <v>0.113960591784332</v>
          </cell>
          <cell r="F219">
            <v>0.2083914515819914</v>
          </cell>
          <cell r="G219">
            <v>6.4865680326531505E-2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E220">
            <v>1.2163439667629872E-4</v>
          </cell>
          <cell r="F220">
            <v>2.2729354479545004E-4</v>
          </cell>
          <cell r="G220">
            <v>7.2757052675112625E-5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E221">
            <v>1.554714758312847E-3</v>
          </cell>
          <cell r="F221">
            <v>2.8429938824282531E-3</v>
          </cell>
          <cell r="G221">
            <v>8.8493424729238132E-4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E222">
            <v>2.8996349118833099E-6</v>
          </cell>
          <cell r="F222">
            <v>2.32158455479767E-6</v>
          </cell>
          <cell r="G222">
            <v>3.82704102885978E-7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E223">
            <v>2.8996349118833099E-6</v>
          </cell>
          <cell r="F223">
            <v>5.2098346965093719E-6</v>
          </cell>
          <cell r="G223">
            <v>1.4777193708819405E-6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D224">
            <v>1.1753588908782205E-2</v>
          </cell>
          <cell r="E224">
            <v>2.2074972550568058E-2</v>
          </cell>
          <cell r="F224">
            <v>2.1027797554929083E-2</v>
          </cell>
          <cell r="G224">
            <v>0.51125589063957178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D225">
            <v>1.1753588908782205E-2</v>
          </cell>
          <cell r="E225">
            <v>2.2074972550568058E-2</v>
          </cell>
          <cell r="F225">
            <v>2.1027797554929076E-2</v>
          </cell>
          <cell r="G225">
            <v>0.51125589063957166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D226">
            <v>1.1799275483505988E-2</v>
          </cell>
          <cell r="E226">
            <v>2.2262838310076773E-2</v>
          </cell>
          <cell r="F226">
            <v>2.1481862407959382E-2</v>
          </cell>
          <cell r="G226">
            <v>0.51166015348336291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D227">
            <v>1.1799275483505988E-2</v>
          </cell>
          <cell r="E227">
            <v>2.2262838310076773E-2</v>
          </cell>
          <cell r="F227">
            <v>2.1481862407959382E-2</v>
          </cell>
          <cell r="G227">
            <v>0.51166015348336291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D228">
            <v>7.6355191919675103E-2</v>
          </cell>
          <cell r="E228">
            <v>0.12056681920074</v>
          </cell>
          <cell r="F228">
            <v>0.11987445088455501</v>
          </cell>
          <cell r="G228">
            <v>10.133629458616101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D229">
            <v>7.6355191919675103E-2</v>
          </cell>
          <cell r="E229">
            <v>0.19308511577208123</v>
          </cell>
          <cell r="F229">
            <v>0.29930444072305035</v>
          </cell>
          <cell r="G229">
            <v>9.8551533639452629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E230">
            <v>3.9840710948780299E-2</v>
          </cell>
          <cell r="F230">
            <v>7.6386181334697795E-2</v>
          </cell>
          <cell r="G230">
            <v>3.2740662305095869E-2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E231">
            <v>2.8671962706941855E-5</v>
          </cell>
          <cell r="F231">
            <v>5.6218296179336661E-5</v>
          </cell>
          <cell r="G231">
            <v>2.4933549467175264E-5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E232">
            <v>5.4352948088376993E-4</v>
          </cell>
          <cell r="F232">
            <v>1.0421034288499009E-3</v>
          </cell>
          <cell r="G232">
            <v>4.4666660716365488E-4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  <cell r="E233">
            <v>4.54080254360338E-7</v>
          </cell>
          <cell r="F233">
            <v>4.7034541450022803E-7</v>
          </cell>
          <cell r="G233">
            <v>1.1666575134763301E-7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E234">
            <v>4.54080254360338E-7</v>
          </cell>
          <cell r="F234">
            <v>9.2442566886056603E-7</v>
          </cell>
          <cell r="G234">
            <v>1.6740735706076501E-7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  <cell r="D235">
            <v>1405.0523126144401</v>
          </cell>
          <cell r="E235">
            <v>1141.8993864582501</v>
          </cell>
          <cell r="F235">
            <v>843.91626587571602</v>
          </cell>
          <cell r="G235">
            <v>363.51056458708501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  <cell r="D236">
            <v>1.5709301792634554</v>
          </cell>
          <cell r="E236">
            <v>1.3085296230128249</v>
          </cell>
          <cell r="F236">
            <v>1.0023380432991076</v>
          </cell>
          <cell r="G236">
            <v>0.43174954999674281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  <cell r="D237">
            <v>19.168517225299297</v>
          </cell>
          <cell r="E237">
            <v>15.578436377329401</v>
          </cell>
          <cell r="F237">
            <v>11.513182344825596</v>
          </cell>
          <cell r="G237">
            <v>4.9592164336573603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  <cell r="D238">
            <v>2.9662000000000001E-2</v>
          </cell>
          <cell r="E238">
            <v>2.5707066666666702E-2</v>
          </cell>
          <cell r="F238">
            <v>1.977451412834683E-2</v>
          </cell>
          <cell r="G238">
            <v>9.8872306349368933E-3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D239">
            <v>1.5951113482171899</v>
          </cell>
          <cell r="E239">
            <v>0.63186703180042403</v>
          </cell>
          <cell r="F239">
            <v>5.44345240705707E-2</v>
          </cell>
          <cell r="G239">
            <v>5.4023509506064701E-2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D240">
            <v>129.873812963153</v>
          </cell>
          <cell r="E240">
            <v>51.446553118282601</v>
          </cell>
          <cell r="F240">
            <v>4.4320537282748704</v>
          </cell>
          <cell r="G240">
            <v>4.3985889618587404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D241">
            <v>1.759807763728358</v>
          </cell>
          <cell r="E241">
            <v>0.69710776583038736</v>
          </cell>
          <cell r="F241">
            <v>6.0054928567409849E-2</v>
          </cell>
          <cell r="G241">
            <v>5.9601476447950767E-2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D242">
            <v>3.3701703354292697E-5</v>
          </cell>
          <cell r="E242">
            <v>8.6727092614388203E-5</v>
          </cell>
          <cell r="F242">
            <v>1.08262597367601E-4</v>
          </cell>
          <cell r="G242">
            <v>1.94344436130508E-4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D243">
            <v>1.5951450499205442</v>
          </cell>
          <cell r="E243">
            <v>1.5952317770131585</v>
          </cell>
          <cell r="F243">
            <v>5.4582978696596118E-2</v>
          </cell>
          <cell r="G243">
            <v>5.402499382704673E-2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D244">
            <v>6.6747486115301055E-2</v>
          </cell>
          <cell r="E244">
            <v>0.12320552603735056</v>
          </cell>
          <cell r="F244">
            <v>0.16294982078493675</v>
          </cell>
          <cell r="G244">
            <v>5.1513156040677508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D245">
            <v>6.6747486115301041E-2</v>
          </cell>
          <cell r="E245">
            <v>0.12320552603735054</v>
          </cell>
          <cell r="F245">
            <v>0.16294982078493675</v>
          </cell>
          <cell r="G245">
            <v>5.1513156040677499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D246">
            <v>6.6782751358078957E-2</v>
          </cell>
          <cell r="E246">
            <v>0.12332040525149054</v>
          </cell>
          <cell r="F246">
            <v>0.16328879143644312</v>
          </cell>
          <cell r="G246">
            <v>5.1520440847803872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D247">
            <v>6.6782751358078957E-2</v>
          </cell>
          <cell r="E247">
            <v>0.12332040525149054</v>
          </cell>
          <cell r="F247">
            <v>0.16328879143644312</v>
          </cell>
          <cell r="G247">
            <v>5.1520440847803872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D248">
            <v>7.5606601181869001E-2</v>
          </cell>
          <cell r="E248">
            <v>0.29134728426079398</v>
          </cell>
          <cell r="F248">
            <v>0.72664828538130599</v>
          </cell>
          <cell r="G248">
            <v>79.621622991245502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D249">
            <v>7.5606601181869001E-2</v>
          </cell>
          <cell r="E249">
            <v>0.3608750178504368</v>
          </cell>
          <cell r="F249">
            <v>1.0561328125015892</v>
          </cell>
          <cell r="G249">
            <v>76.392382381047923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D250">
            <v>3.2670351869359369</v>
          </cell>
          <cell r="E250">
            <v>3.7891440337412492</v>
          </cell>
          <cell r="F250">
            <v>15.285327259128964</v>
          </cell>
          <cell r="G250">
            <v>34.050471758626351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D251">
            <v>8.445966074435253E-2</v>
          </cell>
          <cell r="E251">
            <v>9.803757735508474E-2</v>
          </cell>
          <cell r="F251">
            <v>0.40227520123712857</v>
          </cell>
          <cell r="G251">
            <v>0.91358307970479191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D252">
            <v>4.4268769470676712E-2</v>
          </cell>
          <cell r="E252">
            <v>5.1343415091344866E-2</v>
          </cell>
          <cell r="F252">
            <v>0.20711825554375268</v>
          </cell>
          <cell r="G252">
            <v>0.46138850621444927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E253">
            <v>1.1066679274347199E-3</v>
          </cell>
          <cell r="F253">
            <v>0.10602714801337899</v>
          </cell>
          <cell r="G253">
            <v>0.24292845012547901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D254">
            <v>2.9118439404639228E-2</v>
          </cell>
          <cell r="E254">
            <v>3.3906888880995786E-2</v>
          </cell>
          <cell r="F254">
            <v>0.13995324024580286</v>
          </cell>
          <cell r="G254">
            <v>0.36769697060282647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D255">
            <v>17.176521919007701</v>
          </cell>
          <cell r="E255">
            <v>17.1772175096601</v>
          </cell>
          <cell r="F255">
            <v>16.7996446516999</v>
          </cell>
          <cell r="G255">
            <v>13.1401965793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D256">
            <v>1273.9831592043399</v>
          </cell>
          <cell r="E256">
            <v>1274.03475118443</v>
          </cell>
          <cell r="F256">
            <v>1246.0301606927001</v>
          </cell>
          <cell r="G256">
            <v>974.60878457224806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D257">
            <v>17.38039780633471</v>
          </cell>
          <cell r="E257">
            <v>17.381101653266395</v>
          </cell>
          <cell r="F257">
            <v>16.999047212724442</v>
          </cell>
          <cell r="G257">
            <v>13.296163500303484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D258">
            <v>6.2022357220430899E-5</v>
          </cell>
          <cell r="E258">
            <v>6.8233528510697303E-4</v>
          </cell>
          <cell r="F258">
            <v>1.29024857482846E-4</v>
          </cell>
          <cell r="G258">
            <v>1.54966148470393E-4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D259">
            <v>17.176583941364921</v>
          </cell>
          <cell r="E259">
            <v>17.17726627665003</v>
          </cell>
          <cell r="F259">
            <v>16.799678988056627</v>
          </cell>
          <cell r="G259">
            <v>13.140105802891691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D260">
            <v>5.0569751806782762E-2</v>
          </cell>
          <cell r="E260">
            <v>0.25767685509137106</v>
          </cell>
          <cell r="F260">
            <v>0.83989474353535898</v>
          </cell>
          <cell r="G260">
            <v>0.90168934008573387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D261">
            <v>5.0569751806782755E-2</v>
          </cell>
          <cell r="E261">
            <v>0.25767685509137106</v>
          </cell>
          <cell r="F261">
            <v>0.83989474353535898</v>
          </cell>
          <cell r="G261">
            <v>0.90168934008573365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D262">
            <v>5.0596646055424667E-2</v>
          </cell>
          <cell r="E262">
            <v>0.25780245519208322</v>
          </cell>
          <cell r="F262">
            <v>0.84029759682189908</v>
          </cell>
          <cell r="G262">
            <v>0.90198917888124974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D263">
            <v>5.0596646055424667E-2</v>
          </cell>
          <cell r="E263">
            <v>0.25780245519208322</v>
          </cell>
          <cell r="F263">
            <v>0.84029759682189908</v>
          </cell>
          <cell r="G263">
            <v>0.90198917888124974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D264">
            <v>0.13087563631535801</v>
          </cell>
          <cell r="E264">
            <v>2.7964818984264701</v>
          </cell>
          <cell r="F264">
            <v>8.9597158497664395</v>
          </cell>
          <cell r="G264">
            <v>2.4705945667377902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D265">
            <v>0.13087563631535801</v>
          </cell>
          <cell r="E265">
            <v>2.8863152801163219</v>
          </cell>
          <cell r="F265">
            <v>11.558374882857619</v>
          </cell>
          <cell r="G265">
            <v>12.286204448318292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D266">
            <v>4.5354458074094932</v>
          </cell>
          <cell r="E266">
            <v>8.2237044535167723</v>
          </cell>
          <cell r="F266">
            <v>7.8303268598205058</v>
          </cell>
          <cell r="G266">
            <v>6.139456060877249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D267">
            <v>6.7771297503233088E-2</v>
          </cell>
          <cell r="E267">
            <v>0.12313483993233861</v>
          </cell>
          <cell r="F267">
            <v>0.11731802480201163</v>
          </cell>
          <cell r="G267">
            <v>9.2133834685650076E-2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D268">
            <v>6.145590524945109E-2</v>
          </cell>
          <cell r="E268">
            <v>0.11143230966824884</v>
          </cell>
          <cell r="F268">
            <v>0.1061019899704676</v>
          </cell>
          <cell r="G268">
            <v>8.3190461529502047E-2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E269">
            <v>6.40510992276485E-4</v>
          </cell>
          <cell r="F269">
            <v>1.3877036595436199E-3</v>
          </cell>
          <cell r="G269">
            <v>1.2913093858710201E-3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D270">
            <v>2.9227291598546701E-2</v>
          </cell>
          <cell r="E270">
            <v>4.287038904067518E-2</v>
          </cell>
          <cell r="F270">
            <v>4.4279489384124904E-2</v>
          </cell>
          <cell r="G270">
            <v>4.2047014563877522E-2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D271">
            <v>0.15882112619722885</v>
          </cell>
          <cell r="E271">
            <v>0.90086895880728812</v>
          </cell>
          <cell r="F271">
            <v>2.8601770073321102</v>
          </cell>
          <cell r="G271">
            <v>9.9215138018830196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D272">
            <v>0.15882112619722885</v>
          </cell>
          <cell r="E272">
            <v>0.9008689588072879</v>
          </cell>
          <cell r="F272">
            <v>2.8601770073321102</v>
          </cell>
          <cell r="G272">
            <v>9.9215138018830178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D273">
            <v>0.15885651415722085</v>
          </cell>
          <cell r="E273">
            <v>0.90105906639041244</v>
          </cell>
          <cell r="F273">
            <v>2.8607835456059303</v>
          </cell>
          <cell r="G273">
            <v>9.9227200774803759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D274">
            <v>0.15885651415722085</v>
          </cell>
          <cell r="E274">
            <v>0.90105906639041244</v>
          </cell>
          <cell r="F274">
            <v>2.8607835456059303</v>
          </cell>
          <cell r="G274">
            <v>9.9227200774803759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D275">
            <v>0.197545739450847</v>
          </cell>
          <cell r="E275">
            <v>10.178512011513</v>
          </cell>
          <cell r="F275">
            <v>32.676379330707597</v>
          </cell>
          <cell r="G275">
            <v>122.97878039026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D276">
            <v>0.197545739450847</v>
          </cell>
          <cell r="E276">
            <v>10.234798472407711</v>
          </cell>
          <cell r="F276">
            <v>41.882752917081831</v>
          </cell>
          <cell r="G276">
            <v>152.65622127286977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D277">
            <v>4.6545948678413342</v>
          </cell>
          <cell r="E277">
            <v>2.792859903781475</v>
          </cell>
          <cell r="F277">
            <v>2.9425022339760201</v>
          </cell>
          <cell r="G277">
            <v>2.8273326092135136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D278">
            <v>4.600524498108579E-2</v>
          </cell>
          <cell r="E278">
            <v>2.7645619962151022E-2</v>
          </cell>
          <cell r="F278">
            <v>2.9157475847169538E-2</v>
          </cell>
          <cell r="G278">
            <v>2.8074850558285722E-2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D279">
            <v>6.3070391163161738E-2</v>
          </cell>
          <cell r="E279">
            <v>3.7843630132540322E-2</v>
          </cell>
          <cell r="F279">
            <v>3.9871303983414819E-2</v>
          </cell>
          <cell r="G279">
            <v>3.8310739962242629E-2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E280">
            <v>4.1190333960884E-4</v>
          </cell>
          <cell r="F280">
            <v>5.8548283718594504E-4</v>
          </cell>
          <cell r="G280">
            <v>5.83882153508847E-4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D281">
            <v>2.1262231752497099E-2</v>
          </cell>
          <cell r="E281">
            <v>1.1181518243884345E-2</v>
          </cell>
          <cell r="F281">
            <v>1.179073799444369E-2</v>
          </cell>
          <cell r="G281">
            <v>1.2391823429624325E-2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  <cell r="D282">
            <v>4722.2922433225003</v>
          </cell>
          <cell r="E282">
            <v>3936.6197371253902</v>
          </cell>
          <cell r="F282">
            <v>3142.65624055642</v>
          </cell>
          <cell r="G282">
            <v>967.89240731566997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  <cell r="D283">
            <v>18.303003603260866</v>
          </cell>
          <cell r="E283">
            <v>15.605046012512398</v>
          </cell>
          <cell r="F283">
            <v>12.873489581415408</v>
          </cell>
          <cell r="G283">
            <v>4.1782672913611361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  <cell r="D284">
            <v>63.987699774017699</v>
          </cell>
          <cell r="E284">
            <v>53.341730855357618</v>
          </cell>
          <cell r="F284">
            <v>42.583417893718476</v>
          </cell>
          <cell r="G284">
            <v>13.115073269860021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  <cell r="D285">
            <v>2.4943270000000002</v>
          </cell>
          <cell r="E285">
            <v>2.16175006666667</v>
          </cell>
          <cell r="F285">
            <v>1.6628831723417365</v>
          </cell>
          <cell r="G285">
            <v>0.83140870666471711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D286">
            <v>3.0645906158321168</v>
          </cell>
          <cell r="E286">
            <v>2.4163859788710123</v>
          </cell>
          <cell r="F286">
            <v>2.5641590884102534</v>
          </cell>
          <cell r="G286">
            <v>2.4359988842438791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D287">
            <v>2.8063081863278171E-2</v>
          </cell>
          <cell r="E287">
            <v>2.215983086626961E-2</v>
          </cell>
          <cell r="F287">
            <v>2.3534437889995648E-2</v>
          </cell>
          <cell r="G287">
            <v>2.2390303320734085E-2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D288">
            <v>4.1525618100706159E-2</v>
          </cell>
          <cell r="E288">
            <v>3.2742357437276597E-2</v>
          </cell>
          <cell r="F288">
            <v>3.4744703094989879E-2</v>
          </cell>
          <cell r="G288">
            <v>3.3008114962654225E-2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E289">
            <v>2.7554196038720799E-4</v>
          </cell>
          <cell r="F289">
            <v>3.59167396195719E-4</v>
          </cell>
          <cell r="G289">
            <v>2.9774298597118603E-4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D290">
            <v>1.2888283208703503E-2</v>
          </cell>
          <cell r="E290">
            <v>9.1276851779107174E-3</v>
          </cell>
          <cell r="F290">
            <v>9.5107989059867309E-3</v>
          </cell>
          <cell r="G290">
            <v>9.8275356835162142E-3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  <cell r="D291">
            <v>4168.0090186930302</v>
          </cell>
          <cell r="E291">
            <v>3569.7839899390901</v>
          </cell>
          <cell r="F291">
            <v>2519.1008492471201</v>
          </cell>
          <cell r="G291">
            <v>1108.66067808456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  <cell r="D292">
            <v>19.277382899149952</v>
          </cell>
          <cell r="E292">
            <v>17.235982275638197</v>
          </cell>
          <cell r="F292">
            <v>12.930854952052627</v>
          </cell>
          <cell r="G292">
            <v>6.254137252445382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  <cell r="D293">
            <v>56.862333133602064</v>
          </cell>
          <cell r="E293">
            <v>48.701009412538738</v>
          </cell>
          <cell r="F293">
            <v>34.366996579087619</v>
          </cell>
          <cell r="G293">
            <v>15.124975144400606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  <cell r="D294">
            <v>1.059558</v>
          </cell>
          <cell r="E294">
            <v>0.91828359999999998</v>
          </cell>
          <cell r="F294">
            <v>0.70636159731272663</v>
          </cell>
          <cell r="G294">
            <v>0.35318452728045824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E295">
            <v>1.0757720586759671E-3</v>
          </cell>
          <cell r="F295">
            <v>1.6550175959095734E-3</v>
          </cell>
          <cell r="G295">
            <v>7.812796857924343E-3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E296">
            <v>5.9062578061176599E-4</v>
          </cell>
          <cell r="F296">
            <v>9.0864607574338491E-4</v>
          </cell>
          <cell r="G296">
            <v>4.2894209844528356E-3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D297">
            <v>5.0814008139580431E-3</v>
          </cell>
          <cell r="E297">
            <v>1.2680942498075099E-2</v>
          </cell>
          <cell r="F297">
            <v>1.6205768742515166E-2</v>
          </cell>
          <cell r="G297">
            <v>3.4214699454699876E-2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D298">
            <v>3.3805307952949662E-3</v>
          </cell>
          <cell r="E298">
            <v>8.4363186840827678E-3</v>
          </cell>
          <cell r="F298">
            <v>1.0781298760179536E-2</v>
          </cell>
          <cell r="G298">
            <v>2.2762196762880653E-2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E299">
            <v>1.0644147748453548E-3</v>
          </cell>
          <cell r="F299">
            <v>1.6359446313481362E-3</v>
          </cell>
          <cell r="G299">
            <v>8.0513327109602798E-3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E300">
            <v>5.8439034758114719E-4</v>
          </cell>
          <cell r="F300">
            <v>8.981745409123497E-4</v>
          </cell>
          <cell r="G300">
            <v>4.4203831369525369E-3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D301">
            <v>3.3477999999999994E-2</v>
          </cell>
          <cell r="E301">
            <v>3.4238693943285006E-2</v>
          </cell>
          <cell r="F301">
            <v>3.5370833501607003E-2</v>
          </cell>
          <cell r="G301">
            <v>3.726366700321395E-2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D302">
            <v>0.58772895164057959</v>
          </cell>
          <cell r="E302">
            <v>0.61504030570008339</v>
          </cell>
          <cell r="F302">
            <v>0.65830556959273911</v>
          </cell>
          <cell r="G302">
            <v>0.7379148962536346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E303">
            <v>5.9209317144476969E-2</v>
          </cell>
          <cell r="F303">
            <v>0.20166771654934057</v>
          </cell>
          <cell r="G303">
            <v>1.4655373942564514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E304">
            <v>4.2257203478147223E-2</v>
          </cell>
          <cell r="F304">
            <v>0.14392859340708863</v>
          </cell>
          <cell r="G304">
            <v>1.0459420047492505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D305">
            <v>2.6362961719682484E-5</v>
          </cell>
          <cell r="E305">
            <v>1.0772218405773418E-3</v>
          </cell>
          <cell r="F305">
            <v>3.5834232120381644E-3</v>
          </cell>
          <cell r="G305">
            <v>1.7245813665665508E-2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D306">
            <v>1.753862905357987E-5</v>
          </cell>
          <cell r="E306">
            <v>7.1664915616044447E-4</v>
          </cell>
          <cell r="F306">
            <v>2.3839631952658324E-3</v>
          </cell>
          <cell r="G306">
            <v>1.1473215028926158E-2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  <cell r="D307">
            <v>110.95518214881901</v>
          </cell>
          <cell r="E307">
            <v>103.272240835547</v>
          </cell>
          <cell r="F307">
            <v>70.184337389865803</v>
          </cell>
          <cell r="G307">
            <v>33.234076652798102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  <cell r="D308">
            <v>1.1594141562392106</v>
          </cell>
          <cell r="E308">
            <v>1.1016242060617709</v>
          </cell>
          <cell r="F308">
            <v>0.77159801471995959</v>
          </cell>
          <cell r="G308">
            <v>0.38346685797662039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  <cell r="D309">
            <v>1.5034577526940216</v>
          </cell>
          <cell r="E309">
            <v>1.3993528568502263</v>
          </cell>
          <cell r="F309">
            <v>0.95100728170549897</v>
          </cell>
          <cell r="G309">
            <v>0.45032624190783321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  <cell r="D310">
            <v>0.55779800000000002</v>
          </cell>
          <cell r="E310">
            <v>0.48342493333333297</v>
          </cell>
          <cell r="F310">
            <v>0.3668968759596607</v>
          </cell>
          <cell r="G310">
            <v>0.18437641182701023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E311">
            <v>2.8813875849072225E-2</v>
          </cell>
          <cell r="F311">
            <v>3.9056693935354547E-2</v>
          </cell>
          <cell r="G311">
            <v>6.6547356831063165E-2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E312">
            <v>2.1512532490701893E-2</v>
          </cell>
          <cell r="F312">
            <v>2.9159853456187105E-2</v>
          </cell>
          <cell r="G312">
            <v>4.9684470895111313E-2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E313">
            <v>2.6640050758627798E-2</v>
          </cell>
          <cell r="F313">
            <v>0.16251655920287567</v>
          </cell>
          <cell r="G313">
            <v>1.0366640228552877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E314">
            <v>1.901278548490257E-2</v>
          </cell>
          <cell r="F314">
            <v>0.11598673387917731</v>
          </cell>
          <cell r="G314">
            <v>0.73985860106067414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E315">
            <v>7.716923570566925E-3</v>
          </cell>
          <cell r="F315">
            <v>1.5455883497394168E-2</v>
          </cell>
          <cell r="G315">
            <v>3.7797970542508399E-2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E316">
            <v>5.7614799865749241E-3</v>
          </cell>
          <cell r="F316">
            <v>1.1539412387691706E-2</v>
          </cell>
          <cell r="G316">
            <v>2.8220086517950566E-2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D317">
            <v>1.393826297542462</v>
          </cell>
          <cell r="E317">
            <v>1.5110679938616918</v>
          </cell>
          <cell r="F317">
            <v>1.9063093946908405</v>
          </cell>
          <cell r="G317">
            <v>0.25595120939034577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D318">
            <v>7.9224920539807727E-3</v>
          </cell>
          <cell r="E318">
            <v>8.5888924577628162E-3</v>
          </cell>
          <cell r="F318">
            <v>1.0835439866858306E-2</v>
          </cell>
          <cell r="G318">
            <v>1.4548236219800634E-3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D319">
            <v>2.4713232225930182E-2</v>
          </cell>
          <cell r="E319">
            <v>2.6791985706767552E-2</v>
          </cell>
          <cell r="F319">
            <v>3.3799811962603565E-2</v>
          </cell>
          <cell r="G319">
            <v>4.5381420104671309E-3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  <cell r="D320">
            <v>1.8443633626890098E-5</v>
          </cell>
          <cell r="E320">
            <v>4.36303469727423E-5</v>
          </cell>
          <cell r="F320">
            <v>3.06290166665955E-5</v>
          </cell>
          <cell r="G320">
            <v>3.5326015450105903E-5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D321">
            <v>5.9968350378086484E-4</v>
          </cell>
          <cell r="E321">
            <v>7.6784045871339398E-4</v>
          </cell>
          <cell r="F321">
            <v>7.9978267164797711E-4</v>
          </cell>
          <cell r="G321">
            <v>1.0676421736358104E-4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D322">
            <v>2.3310932083846735E-2</v>
          </cell>
          <cell r="E322">
            <v>8.8739856544527054E-2</v>
          </cell>
          <cell r="F322">
            <v>0.12865528017552175</v>
          </cell>
          <cell r="G322">
            <v>1.9700503006695596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D323">
            <v>3.4212479778317061E-2</v>
          </cell>
          <cell r="E323">
            <v>0.13023977491076785</v>
          </cell>
          <cell r="F323">
            <v>0.18882197226377082</v>
          </cell>
          <cell r="G323">
            <v>2.8913604068466117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E324">
            <v>3.6409147471264101E-3</v>
          </cell>
          <cell r="F324">
            <v>2.90338983637267E-3</v>
          </cell>
          <cell r="G324">
            <v>0.13717751973106601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D325">
            <v>1.6973488371809123E-3</v>
          </cell>
          <cell r="E325">
            <v>6.2323728735079204E-3</v>
          </cell>
          <cell r="F325">
            <v>9.1356317991614939E-3</v>
          </cell>
          <cell r="G325">
            <v>0.14502022408433934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D326">
            <v>2.9388554062264894E-4</v>
          </cell>
          <cell r="E326">
            <v>1.8922742822499346E-3</v>
          </cell>
          <cell r="F326">
            <v>3.5947591062320981E-3</v>
          </cell>
          <cell r="G326">
            <v>6.4518332748812454E-2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D327">
            <v>7.7605176806777251E-4</v>
          </cell>
          <cell r="E327">
            <v>4.8493922540366078E-3</v>
          </cell>
          <cell r="F327">
            <v>8.9666266559661045E-3</v>
          </cell>
          <cell r="G327">
            <v>0.14441192451366688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E328">
            <v>3.4795533847902599E-5</v>
          </cell>
          <cell r="F328">
            <v>4.0382270139361801E-5</v>
          </cell>
          <cell r="G328">
            <v>1.38828264679686E-3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D329">
            <v>3.3518861090426929E-6</v>
          </cell>
          <cell r="E329">
            <v>4.1472429544573534E-5</v>
          </cell>
          <cell r="F329">
            <v>8.0330485173202109E-5</v>
          </cell>
          <cell r="G329">
            <v>1.4039108320665751E-3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D330">
            <v>6.2735320001902596E-4</v>
          </cell>
          <cell r="E330">
            <v>1.5127908130867719E-3</v>
          </cell>
          <cell r="F330">
            <v>2.3457188862185613E-3</v>
          </cell>
          <cell r="G330">
            <v>5.7387157735929409E-2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D331">
            <v>2.2797862956962425E-3</v>
          </cell>
          <cell r="E331">
            <v>5.4014622191960885E-3</v>
          </cell>
          <cell r="F331">
            <v>8.1850997088965538E-3</v>
          </cell>
          <cell r="G331">
            <v>0.17730714657358523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E332">
            <v>1.2083940085619401E-5</v>
          </cell>
          <cell r="F332">
            <v>1.8752707353731001E-5</v>
          </cell>
          <cell r="G332">
            <v>1.2227157285663399E-3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D333">
            <v>1.0868309168130718E-5</v>
          </cell>
          <cell r="E333">
            <v>3.3740361822773056E-5</v>
          </cell>
          <cell r="F333">
            <v>5.2308625271395459E-5</v>
          </cell>
          <cell r="G333">
            <v>1.2470974897116659E-3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D334">
            <v>2.6219367354665565E-4</v>
          </cell>
          <cell r="E334">
            <v>5.5589078785311886E-4</v>
          </cell>
          <cell r="F334">
            <v>8.6570836953777112E-4</v>
          </cell>
          <cell r="G334">
            <v>1.2194006584594366E-2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D335">
            <v>1.4329840418077231E-3</v>
          </cell>
          <cell r="E335">
            <v>2.9856676865509242E-3</v>
          </cell>
          <cell r="F335">
            <v>4.5414946749020501E-3</v>
          </cell>
          <cell r="G335">
            <v>5.6761723069708468E-2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E336">
            <v>5.41825113763563E-6</v>
          </cell>
          <cell r="F336">
            <v>7.1780910227926998E-6</v>
          </cell>
          <cell r="G336">
            <v>2.5490845542920502E-4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D337">
            <v>2.2012400815327492E-6</v>
          </cell>
          <cell r="E337">
            <v>9.8352419257369269E-6</v>
          </cell>
          <cell r="F337">
            <v>1.6831806149670441E-5</v>
          </cell>
          <cell r="G337">
            <v>2.6705083904713528E-4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E338">
            <v>1.3437324189129353E-4</v>
          </cell>
          <cell r="F338">
            <v>2.2259116902714863E-4</v>
          </cell>
          <cell r="G338">
            <v>1.5214388766451322E-4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E339">
            <v>1.0627911211982919E-3</v>
          </cell>
          <cell r="F339">
            <v>1.717344954885097E-3</v>
          </cell>
          <cell r="G339">
            <v>1.0936948487897124E-3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E340">
            <v>3.1037136138987199E-6</v>
          </cell>
          <cell r="F340">
            <v>2.6866503474644701E-6</v>
          </cell>
          <cell r="G340">
            <v>2.6357402782433799E-6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E341">
            <v>3.1037136138987199E-6</v>
          </cell>
          <cell r="F341">
            <v>5.3288663525052872E-6</v>
          </cell>
          <cell r="G341">
            <v>3.7400583738887202E-6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D342">
            <v>2.1293432707779118E-2</v>
          </cell>
          <cell r="E342">
            <v>3.9843895738932503E-2</v>
          </cell>
          <cell r="F342">
            <v>3.7862782131930714E-2</v>
          </cell>
          <cell r="G342">
            <v>0.87232245505684225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D343">
            <v>1.1753470285554044E-2</v>
          </cell>
          <cell r="E343">
            <v>2.1992886307014767E-2</v>
          </cell>
          <cell r="F343">
            <v>2.0899358540414026E-2</v>
          </cell>
          <cell r="G343">
            <v>0.48150132464017859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D344">
            <v>9.4895089848303195E-4</v>
          </cell>
          <cell r="E344">
            <v>1.5139383780664499E-3</v>
          </cell>
          <cell r="F344">
            <v>1.52900018633736E-3</v>
          </cell>
          <cell r="G344">
            <v>0.13274624474909699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D345">
            <v>2.4198384931383926E-3</v>
          </cell>
          <cell r="E345">
            <v>4.3310014059226428E-3</v>
          </cell>
          <cell r="F345">
            <v>5.5780900361345111E-3</v>
          </cell>
          <cell r="G345">
            <v>0.13048795164583002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D346">
            <v>15.3266526020894</v>
          </cell>
          <cell r="E346">
            <v>10.8603436332081</v>
          </cell>
          <cell r="F346">
            <v>14.877501349025</v>
          </cell>
          <cell r="G346">
            <v>3.4697702695636101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D347">
            <v>0.29459975544247907</v>
          </cell>
          <cell r="E347">
            <v>0.21484073599650791</v>
          </cell>
          <cell r="F347">
            <v>0.29195931596873653</v>
          </cell>
          <cell r="G347">
            <v>7.4326327389226982E-2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D348">
            <v>0.27174915961151475</v>
          </cell>
          <cell r="E348">
            <v>0.19255928427673985</v>
          </cell>
          <cell r="F348">
            <v>0.26378548491179105</v>
          </cell>
          <cell r="G348">
            <v>6.152074946034769E-2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D349">
            <v>2.3790307969536788E-2</v>
          </cell>
          <cell r="E349">
            <v>2.0808875239340906E-2</v>
          </cell>
          <cell r="F349">
            <v>2.7220217970123292E-2</v>
          </cell>
          <cell r="G349">
            <v>1.2361840836107522E-2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E350">
            <v>2.1578738839249396E-3</v>
          </cell>
          <cell r="F350">
            <v>1.8849027709331799E-3</v>
          </cell>
          <cell r="G350">
            <v>1.9525443601306315E-3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D351">
            <v>3.2050705670831E-5</v>
          </cell>
          <cell r="E351">
            <v>3.5470059228738299E-6</v>
          </cell>
          <cell r="F351">
            <v>4.1024593838111601E-6</v>
          </cell>
          <cell r="G351">
            <v>4.7589460780098196E-6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D352">
            <v>0.95964974378731482</v>
          </cell>
          <cell r="E352">
            <v>0.95965329079323769</v>
          </cell>
          <cell r="F352">
            <v>0.95965739325262156</v>
          </cell>
          <cell r="G352">
            <v>0.95966215219869955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D353">
            <v>9.7704854510058434E-2</v>
          </cell>
          <cell r="E353">
            <v>0.1801618451461148</v>
          </cell>
          <cell r="F353">
            <v>0.23821184453865535</v>
          </cell>
          <cell r="G353">
            <v>7.5174324295340993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D354">
            <v>6.6747486115301083E-2</v>
          </cell>
          <cell r="E354">
            <v>0.12307832929795047</v>
          </cell>
          <cell r="F354">
            <v>0.16273543280500249</v>
          </cell>
          <cell r="G354">
            <v>5.1355658757097356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D355">
            <v>5.2628818581012897E-4</v>
          </cell>
          <cell r="E355">
            <v>2.0499909564197102E-3</v>
          </cell>
          <cell r="F355">
            <v>5.1972863012349196E-3</v>
          </cell>
          <cell r="G355">
            <v>0.58559968210585001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D356">
            <v>7.8075998491253544E-3</v>
          </cell>
          <cell r="E356">
            <v>1.3672975628669938E-2</v>
          </cell>
          <cell r="F356">
            <v>1.8215287595082352E-2</v>
          </cell>
          <cell r="G356">
            <v>0.57038143366586347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  <cell r="D357">
            <v>2.7237543907744723E-2</v>
          </cell>
          <cell r="E357">
            <v>2.4053218470938761E-2</v>
          </cell>
          <cell r="F357">
            <v>1.8182701675714088E-2</v>
          </cell>
          <cell r="G357">
            <v>8.7347022263688911E-3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  <cell r="D358">
            <v>3.9519211782301972E-2</v>
          </cell>
          <cell r="E358">
            <v>3.4576786983343169E-2</v>
          </cell>
          <cell r="F358">
            <v>2.5780761281755226E-2</v>
          </cell>
          <cell r="G358">
            <v>1.2384698213797668E-2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  <cell r="D359">
            <v>1.9499999999999999E-3</v>
          </cell>
          <cell r="E359">
            <v>1.6900000000000001E-3</v>
          </cell>
          <cell r="F359">
            <v>1.2999221587943475E-3</v>
          </cell>
          <cell r="G359">
            <v>6.4995158468443884E-4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D360">
            <v>6.7634652364100198E-2</v>
          </cell>
          <cell r="E360">
            <v>0.3445216291107594</v>
          </cell>
          <cell r="F360">
            <v>1.1230997299616892</v>
          </cell>
          <cell r="G360">
            <v>1.1811467051227369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D361">
            <v>5.0569751806782734E-2</v>
          </cell>
          <cell r="E361">
            <v>0.25759536963994467</v>
          </cell>
          <cell r="F361">
            <v>0.83973041352650502</v>
          </cell>
          <cell r="G361">
            <v>0.88313155516653929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D362">
            <v>7.90774924322943E-4</v>
          </cell>
          <cell r="E362">
            <v>1.7076925098765201E-2</v>
          </cell>
          <cell r="F362">
            <v>5.5601956747644898E-2</v>
          </cell>
          <cell r="G362">
            <v>1.5758596419597402E-2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D363">
            <v>5.0070995158856962E-3</v>
          </cell>
          <cell r="E363">
            <v>2.3739012591040397E-2</v>
          </cell>
          <cell r="F363">
            <v>7.7396536904448643E-2</v>
          </cell>
          <cell r="G363">
            <v>8.1312508161985347E-2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D364">
            <v>0.20566905811202962</v>
          </cell>
          <cell r="E364">
            <v>1.166441124893274</v>
          </cell>
          <cell r="F364">
            <v>3.7035806647945315</v>
          </cell>
          <cell r="G364">
            <v>12.830236035830476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D365">
            <v>0.15882112619722877</v>
          </cell>
          <cell r="E365">
            <v>0.90074557057290427</v>
          </cell>
          <cell r="F365">
            <v>2.8599676467840207</v>
          </cell>
          <cell r="G365">
            <v>9.907725329674534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D366">
            <v>1.2244687320786701E-3</v>
          </cell>
          <cell r="E366">
            <v>6.3712446320510596E-2</v>
          </cell>
          <cell r="F366">
            <v>0.20760759458165901</v>
          </cell>
          <cell r="G366">
            <v>0.80138380440179702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D367">
            <v>1.6424914539134985E-2</v>
          </cell>
          <cell r="E367">
            <v>9.1926390101677607E-2</v>
          </cell>
          <cell r="F367">
            <v>0.29194670110932724</v>
          </cell>
          <cell r="G367">
            <v>1.0104067736591091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E368">
            <v>0.110787386585197</v>
          </cell>
          <cell r="F368">
            <v>0.2208265556992727</v>
          </cell>
          <cell r="G368">
            <v>1.124604458097174E-2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E369">
            <v>2.3618440748970272E-4</v>
          </cell>
          <cell r="F369">
            <v>4.8180878759464105E-4</v>
          </cell>
          <cell r="G369">
            <v>2.5681956875642466E-5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E370">
            <v>1.9643153649857598E-3</v>
          </cell>
          <cell r="F370">
            <v>3.9153644627530695E-3</v>
          </cell>
          <cell r="G370">
            <v>1.993979535633284E-4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E371">
            <v>6.19252912558567E-6</v>
          </cell>
          <cell r="F371">
            <v>4.8771289840161897E-6</v>
          </cell>
          <cell r="G371">
            <v>1.74750640659034E-7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E372">
            <v>6.19252912558567E-6</v>
          </cell>
          <cell r="F372">
            <v>1.0978638740556517E-5</v>
          </cell>
          <cell r="G372">
            <v>3.204973580417008E-7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E373">
            <v>3.986184500137294E-4</v>
          </cell>
          <cell r="F373">
            <v>6.0023490627610608E-4</v>
          </cell>
          <cell r="G373">
            <v>1.9825360342799568E-4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E374">
            <v>8.5705334089631626E-4</v>
          </cell>
          <cell r="F374">
            <v>1.268651043729762E-3</v>
          </cell>
          <cell r="G374">
            <v>4.0119301108514343E-4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E375">
            <v>3.0327895704679199E-5</v>
          </cell>
          <cell r="F375">
            <v>1.6029146216927301E-5</v>
          </cell>
          <cell r="G375">
            <v>3.51891015236377E-6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E376">
            <v>3.0327895704679199E-5</v>
          </cell>
          <cell r="F376">
            <v>4.6281098085736317E-5</v>
          </cell>
          <cell r="G376">
            <v>1.1130429089977705E-5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E377">
            <v>8.1218587168048098E-2</v>
          </cell>
          <cell r="F377">
            <v>0.21893952163029862</v>
          </cell>
          <cell r="G377">
            <v>1.5961794898882359E-2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E378">
            <v>1.2240112878893181E-4</v>
          </cell>
          <cell r="F378">
            <v>3.3960205140559245E-4</v>
          </cell>
          <cell r="G378">
            <v>2.5594388805992501E-5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E379">
            <v>1.4400458717739014E-3</v>
          </cell>
          <cell r="F379">
            <v>3.8819064118847287E-3</v>
          </cell>
          <cell r="G379">
            <v>2.8301054785252386E-4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E380">
            <v>3.0337087329467001E-6</v>
          </cell>
          <cell r="F380">
            <v>4.2068283311581399E-6</v>
          </cell>
          <cell r="G380">
            <v>9.7472314277058497E-8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E381">
            <v>3.0337087329467001E-6</v>
          </cell>
          <cell r="F381">
            <v>7.24053706410484E-6</v>
          </cell>
          <cell r="G381">
            <v>1.9210793695783949E-7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D382">
            <v>5.8860143580549584E-2</v>
          </cell>
          <cell r="E382">
            <v>8.1895375189181507</v>
          </cell>
          <cell r="F382">
            <v>19.044907668835005</v>
          </cell>
          <cell r="G382">
            <v>1.0091964542891921E-2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D383">
            <v>9.9507503282491807E-5</v>
          </cell>
          <cell r="E383">
            <v>1.4355094916924624E-2</v>
          </cell>
          <cell r="F383">
            <v>3.4402343355592377E-2</v>
          </cell>
          <cell r="G383">
            <v>1.7568474188955871E-5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D384">
            <v>8.0300332306343218E-4</v>
          </cell>
          <cell r="E384">
            <v>0.1117262963017483</v>
          </cell>
          <cell r="F384">
            <v>0.2598213870236698</v>
          </cell>
          <cell r="G384">
            <v>1.3768028025773447E-4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E385">
            <v>2.73607307003089E-4</v>
          </cell>
          <cell r="F385">
            <v>3.7842408511320802E-4</v>
          </cell>
          <cell r="G385">
            <v>3.9788814822088701E-8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D386">
            <v>7.0464135021097004E-7</v>
          </cell>
          <cell r="E386">
            <v>2.7440867731463224E-4</v>
          </cell>
          <cell r="F386">
            <v>6.5279312099015467E-4</v>
          </cell>
          <cell r="G386">
            <v>-3.0944659718467552E-7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E387">
            <v>7.05283275325298E-2</v>
          </cell>
          <cell r="F387">
            <v>0.20012715306198181</v>
          </cell>
          <cell r="G387">
            <v>1.5121312599620899E-2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E388">
            <v>7.0556005475855426E-5</v>
          </cell>
          <cell r="F388">
            <v>2.0623028549097061E-4</v>
          </cell>
          <cell r="G388">
            <v>1.6095691406508236E-5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E389">
            <v>1.2505022612150673E-3</v>
          </cell>
          <cell r="F389">
            <v>3.5483537776947083E-3</v>
          </cell>
          <cell r="G389">
            <v>2.6810837942590251E-4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E390">
            <v>1.8196409797684899E-6</v>
          </cell>
          <cell r="F390">
            <v>2.73544396189934E-6</v>
          </cell>
          <cell r="G390">
            <v>9.6631523940386306E-8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E391">
            <v>1.8196409797684899E-6</v>
          </cell>
          <cell r="F391">
            <v>4.5550849416678297E-6</v>
          </cell>
          <cell r="G391">
            <v>2.408099261331397E-7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D392">
            <v>7.4807299944246504</v>
          </cell>
          <cell r="E392">
            <v>8.2095989869952213</v>
          </cell>
          <cell r="F392">
            <v>11.932413284119193</v>
          </cell>
          <cell r="G392">
            <v>6.7367896056592644E-2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D393">
            <v>8.9264446046589084E-3</v>
          </cell>
          <cell r="E393">
            <v>9.8384883571199025E-3</v>
          </cell>
          <cell r="F393">
            <v>1.4514006426720464E-2</v>
          </cell>
          <cell r="G393">
            <v>8.3368882041242053E-5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D394">
            <v>0.10205634371657067</v>
          </cell>
          <cell r="E394">
            <v>0.11199998618001675</v>
          </cell>
          <cell r="F394">
            <v>0.16278872147502296</v>
          </cell>
          <cell r="G394">
            <v>9.190708875387811E-4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E395">
            <v>1.0076138085787199E-5</v>
          </cell>
          <cell r="F395">
            <v>5.3217679748052702E-5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D396">
            <v>1.8032391937432106E-4</v>
          </cell>
          <cell r="E396">
            <v>2.1899623495762508E-4</v>
          </cell>
          <cell r="F396">
            <v>2.7482179730105549E-4</v>
          </cell>
          <cell r="G396">
            <v>-3.6403572291920949E-7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E397">
            <v>2.6729202998897701E-2</v>
          </cell>
          <cell r="F397">
            <v>7.0659600606572698E-2</v>
          </cell>
          <cell r="G397">
            <v>2.2357174850516089E-2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E398">
            <v>1.7861722493264039E-5</v>
          </cell>
          <cell r="F398">
            <v>4.8579058700825942E-5</v>
          </cell>
          <cell r="G398">
            <v>1.5861286264862542E-5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E399">
            <v>4.7392203898754696E-4</v>
          </cell>
          <cell r="F399">
            <v>1.2528297979888775E-3</v>
          </cell>
          <cell r="G399">
            <v>3.9640380940631365E-4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E400">
            <v>2.37582242027549E-7</v>
          </cell>
          <cell r="F400">
            <v>5.0168272991460196E-7</v>
          </cell>
          <cell r="G400">
            <v>5.0439740103103203E-8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E401">
            <v>2.37582242027549E-7</v>
          </cell>
          <cell r="F401">
            <v>7.3926497194215099E-7</v>
          </cell>
          <cell r="G401">
            <v>-3.8258926339991079E-8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D402">
            <v>45.299253093273492</v>
          </cell>
          <cell r="E402">
            <v>63.898668878553835</v>
          </cell>
          <cell r="F402">
            <v>110.46359536645299</v>
          </cell>
          <cell r="G402">
            <v>9.04404350153203E-2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D403">
            <v>3.5812692154139132E-2</v>
          </cell>
          <cell r="E403">
            <v>5.0688547996695775E-2</v>
          </cell>
          <cell r="F403">
            <v>9.0661543101879502E-2</v>
          </cell>
          <cell r="G403">
            <v>7.4926495595288692E-5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D404">
            <v>0.617997995815463</v>
          </cell>
          <cell r="E404">
            <v>0.87174173094889229</v>
          </cell>
          <cell r="F404">
            <v>1.5070067580689368</v>
          </cell>
          <cell r="G404">
            <v>1.2338394954341072E-3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E405">
            <v>2.2551065255541901E-5</v>
          </cell>
          <cell r="F405">
            <v>7.3383923175598996E-4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D406">
            <v>8.0105205478635374E-4</v>
          </cell>
          <cell r="E406">
            <v>9.7110347863075468E-4</v>
          </cell>
          <cell r="F406">
            <v>1.7081401799494333E-3</v>
          </cell>
          <cell r="G406">
            <v>-2.5308223818194808E-7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D407">
            <v>1.1318876772878821</v>
          </cell>
          <cell r="E407">
            <v>0.2884424084069413</v>
          </cell>
          <cell r="F407">
            <v>0.49084327192584087</v>
          </cell>
          <cell r="G407">
            <v>7.591504480191559E-2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D408">
            <v>5.9677320673333335E-4</v>
          </cell>
          <cell r="E408">
            <v>1.53348900256659E-4</v>
          </cell>
          <cell r="F408">
            <v>2.6267269298269107E-4</v>
          </cell>
          <cell r="G408">
            <v>4.2226081591331143E-5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D409">
            <v>1.5441850986192118E-2</v>
          </cell>
          <cell r="E409">
            <v>3.9350942483893777E-3</v>
          </cell>
          <cell r="F409">
            <v>6.696361144963723E-3</v>
          </cell>
          <cell r="G409">
            <v>1.0356759181707432E-3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E410">
            <v>2.8238334902776801E-7</v>
          </cell>
          <cell r="F410">
            <v>3.0109913260809802E-7</v>
          </cell>
          <cell r="G410">
            <v>2.4536977991481498E-8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D411">
            <v>9.6313990647584433E-6</v>
          </cell>
          <cell r="E411">
            <v>1.8006710858634692E-6</v>
          </cell>
          <cell r="F411">
            <v>3.4677617748108262E-6</v>
          </cell>
          <cell r="G411">
            <v>-2.0466343003073801E-7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G412">
            <v>5.0110853059788303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G413">
            <v>5.0110853059788303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  <cell r="D414">
            <v>1.00679151797333E-2</v>
          </cell>
          <cell r="E414">
            <v>9.1708866803655795E-3</v>
          </cell>
          <cell r="F414">
            <v>8.9167855403469599E-3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  <cell r="D415">
            <v>1.776210442048535E-3</v>
          </cell>
          <cell r="E415">
            <v>1.2970621791852863E-3</v>
          </cell>
          <cell r="F415">
            <v>7.9312271801180827E-4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  <cell r="D416">
            <v>1.785091343924339E-4</v>
          </cell>
          <cell r="E416">
            <v>1.6260437376534707E-4</v>
          </cell>
          <cell r="F416">
            <v>1.5809903440331505E-4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  <cell r="D417">
            <v>2.9722792607802899E-5</v>
          </cell>
          <cell r="E417">
            <v>2.3778234086242301E-5</v>
          </cell>
          <cell r="F417">
            <v>1.4420849856955918E-5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  <cell r="D418">
            <v>1.26981517733958</v>
          </cell>
          <cell r="E418">
            <v>1.2687951942556699</v>
          </cell>
          <cell r="F418">
            <v>1.26114876922759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  <cell r="D419">
            <v>0.24198694105284999</v>
          </cell>
          <cell r="E419">
            <v>0.19368767145318413</v>
          </cell>
          <cell r="F419">
            <v>0.12079792672857369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  <cell r="D420">
            <v>1.7323535843650411E-2</v>
          </cell>
          <cell r="E420">
            <v>1.7309620658331071E-2</v>
          </cell>
          <cell r="F420">
            <v>1.7205303809380557E-2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  <cell r="D421">
            <v>4.5678362175525303E-3</v>
          </cell>
          <cell r="E421">
            <v>3.6542689740420198E-3</v>
          </cell>
          <cell r="F421">
            <v>2.2763662538506273E-3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D422">
            <v>3.405786841405966E-2</v>
          </cell>
          <cell r="E422">
            <v>0.13019098473622553</v>
          </cell>
          <cell r="F422">
            <v>0.18881669904428633</v>
          </cell>
          <cell r="G422">
            <v>2.9074355069144273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D423">
            <v>3.405786841405966E-2</v>
          </cell>
          <cell r="E423">
            <v>0.13019098473622553</v>
          </cell>
          <cell r="F423">
            <v>0.18881669904428633</v>
          </cell>
          <cell r="G423">
            <v>2.9074355069144273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D424">
            <v>5.8779593473253598E-3</v>
          </cell>
          <cell r="E424">
            <v>8.5087022225088203E-3</v>
          </cell>
          <cell r="F424">
            <v>6.3187486934449203E-3</v>
          </cell>
          <cell r="G424">
            <v>0.28935206539456498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D425">
            <v>5.8779593473253598E-3</v>
          </cell>
          <cell r="E425">
            <v>1.4386661569834199E-2</v>
          </cell>
          <cell r="F425">
            <v>2.07054102632791E-2</v>
          </cell>
          <cell r="G425">
            <v>0.30735303594940799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G426">
            <v>1.4168661287990444E-5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G427">
            <v>6.0446052890327579E-5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G428">
            <v>2.43526506189573E-7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G429">
            <v>2.43526506189573E-7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G430">
            <v>1.6419162599396305E-5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G431">
            <v>9.7096484599356865E-5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G432">
            <v>2.9779102615912502E-7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G433">
            <v>2.9779102615912502E-7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G434">
            <v>2.200343920537126E-5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G435">
            <v>1.9453410076949448E-4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G436">
            <v>4.4828274458532702E-7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G437">
            <v>4.4828274458532702E-7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  <cell r="D438">
            <v>92.556053785637005</v>
          </cell>
          <cell r="E438">
            <v>91.725909116649802</v>
          </cell>
          <cell r="F438">
            <v>68.259732407313805</v>
          </cell>
          <cell r="G438">
            <v>32.3939979993592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  <cell r="D439">
            <v>0.61929198768433291</v>
          </cell>
          <cell r="E439">
            <v>0.62770377326903859</v>
          </cell>
          <cell r="F439">
            <v>0.48270868795202665</v>
          </cell>
          <cell r="G439">
            <v>0.24140975407941773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  <cell r="D440">
            <v>1.2541470702660853</v>
          </cell>
          <cell r="E440">
            <v>1.2428984975155788</v>
          </cell>
          <cell r="F440">
            <v>0.92492862340533555</v>
          </cell>
          <cell r="G440">
            <v>0.43894306232193969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  <cell r="D441">
            <v>6.5841999999999998E-2</v>
          </cell>
          <cell r="E441">
            <v>5.7063066666666697E-2</v>
          </cell>
          <cell r="F441">
            <v>4.3891675459153422E-2</v>
          </cell>
          <cell r="G441">
            <v>2.1946877235544528E-2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G442">
            <v>8.4713349947946357E-6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G443">
            <v>1.1161671792113741E-4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  <cell r="G444">
            <v>1.26009690725132E-7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G445">
            <v>1.26009690725132E-7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D446">
            <v>79.576349423418094</v>
          </cell>
          <cell r="E446">
            <v>100.796237247683</v>
          </cell>
          <cell r="F446">
            <v>132.626068984081</v>
          </cell>
          <cell r="G446">
            <v>185.675788544743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D447">
            <v>1.0930817228491501</v>
          </cell>
          <cell r="E447">
            <v>1.3845636984571901</v>
          </cell>
          <cell r="F447">
            <v>1.82178666186924</v>
          </cell>
          <cell r="G447">
            <v>2.5504916008893299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D448">
            <v>1.0930817228491501</v>
          </cell>
          <cell r="E448">
            <v>1.3845636984571901</v>
          </cell>
          <cell r="F448">
            <v>1.82178666186924</v>
          </cell>
          <cell r="G448">
            <v>2.5504916008893299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D449">
            <v>2.5504850457166199</v>
          </cell>
          <cell r="E449">
            <v>3.2886293375569502</v>
          </cell>
          <cell r="F449">
            <v>2.5425051677860599</v>
          </cell>
          <cell r="G449">
            <v>2.6814690875734701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D450">
            <v>3.64356676856577</v>
          </cell>
          <cell r="E450">
            <v>6.9321961061227197</v>
          </cell>
          <cell r="F450">
            <v>6.9242402039158009</v>
          </cell>
          <cell r="G450">
            <v>7.1106264196314601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D451">
            <v>26.12483910510224</v>
          </cell>
          <cell r="E451">
            <v>43.791252335697102</v>
          </cell>
          <cell r="F451">
            <v>98.429377925854851</v>
          </cell>
          <cell r="G451">
            <v>83.69578791211805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D452">
            <v>0.2414795429084732</v>
          </cell>
          <cell r="E452">
            <v>0.39832977147202486</v>
          </cell>
          <cell r="F452">
            <v>0.82922209280675696</v>
          </cell>
          <cell r="G452">
            <v>0.70461294150453324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D453">
            <v>0.35399510982523313</v>
          </cell>
          <cell r="E453">
            <v>0.593377402922726</v>
          </cell>
          <cell r="F453">
            <v>1.3337314082094138</v>
          </cell>
          <cell r="G453">
            <v>1.1340892671018696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  <cell r="E454">
            <v>3.0464857768769298E-3</v>
          </cell>
          <cell r="F454">
            <v>8.48281752601735E-2</v>
          </cell>
          <cell r="G454">
            <v>6.0685793614459601E-4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D455">
            <v>3.6490627745920649E-2</v>
          </cell>
          <cell r="E455">
            <v>4.2724068188990112E-2</v>
          </cell>
          <cell r="F455">
            <v>0.12580638795372376</v>
          </cell>
          <cell r="G455">
            <v>0.10651032311906861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G456">
            <v>0.33398412994859022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G457">
            <v>5.3602866127695718E-3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G458">
            <v>5.8897202003707454E-3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G459">
            <v>3.9071031133796731E-3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G460">
            <v>3.1386465613616056E-4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G461">
            <v>2.9630255323443901E-2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G462">
            <v>1.553689952724714E-2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G463">
            <v>1.8345551839801195E-2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G464">
            <v>1.3580642891104257E-2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G465">
            <v>1.6656985557266919E-2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G466">
            <v>7.9802061584521855E-3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G467">
            <v>1.2393493091106373E-2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G468">
            <v>2.4366208336898877E-2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G469">
            <v>4.955939579320277E-3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G470">
            <v>3.8529338781174899E-2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G471">
            <v>4.4210748439268074E-2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G472">
            <v>4.4236925766140314E-2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G473">
            <v>5.554519345295536E-3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G474">
            <v>4.6917842242124265E-3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G475">
            <v>1.8898175329798838E-3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G476">
            <v>2.5668248014014887E-3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G477">
            <v>1.5848750095060937E-2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G478">
            <v>1.9643835486026356E-2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G479">
            <v>0.104299787365392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G480">
            <v>0.104299787365392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E481">
            <v>8.9447672425363403E-2</v>
          </cell>
          <cell r="F481">
            <v>0.17018554365903499</v>
          </cell>
          <cell r="G481">
            <v>2.9555630628087002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E482">
            <v>3.6251920101909453E-2</v>
          </cell>
          <cell r="F482">
            <v>6.897387672524781E-2</v>
          </cell>
          <cell r="G482">
            <v>1.1978493470414102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D483">
            <v>9.0644580291340406E-5</v>
          </cell>
          <cell r="E483">
            <v>8.94148666771266E-2</v>
          </cell>
          <cell r="F483">
            <v>8.0719534535065404E-2</v>
          </cell>
          <cell r="G483">
            <v>2.7851877889769199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D484">
            <v>9.0644580291340406E-5</v>
          </cell>
          <cell r="E484">
            <v>8.9505511257418E-2</v>
          </cell>
          <cell r="F484">
            <v>0.17020430782541573</v>
          </cell>
          <cell r="G484">
            <v>2.95535645169603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D485">
            <v>22.947561675901468</v>
          </cell>
          <cell r="E485">
            <v>54.943244819941455</v>
          </cell>
          <cell r="F485">
            <v>72.137473187449928</v>
          </cell>
          <cell r="G485">
            <v>111.1980541716658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D486">
            <v>0.10921223831108169</v>
          </cell>
          <cell r="E486">
            <v>0.26148637626981458</v>
          </cell>
          <cell r="F486">
            <v>0.34331729985850745</v>
          </cell>
          <cell r="G486">
            <v>0.52921476204933138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D487">
            <v>0.31094257013416571</v>
          </cell>
          <cell r="E487">
            <v>0.74448841219432871</v>
          </cell>
          <cell r="F487">
            <v>0.97747253641531073</v>
          </cell>
          <cell r="G487">
            <v>1.506748701513088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  <cell r="E488">
            <v>5.8825364516143803E-3</v>
          </cell>
          <cell r="F488">
            <v>1.2623609637119001E-2</v>
          </cell>
          <cell r="G488">
            <v>2.7594327152662902E-2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D489">
            <v>1.083443030167933E-2</v>
          </cell>
          <cell r="E489">
            <v>1.8407539373753751E-2</v>
          </cell>
          <cell r="F489">
            <v>3.1034308501779691E-2</v>
          </cell>
          <cell r="G489">
            <v>5.253394696171497E-2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D490">
            <v>252.8305676103414</v>
          </cell>
          <cell r="E490">
            <v>392.53532249593826</v>
          </cell>
          <cell r="F490">
            <v>437.96411115372973</v>
          </cell>
          <cell r="G490">
            <v>349.71177961065416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D491">
            <v>2.0620696764592474</v>
          </cell>
          <cell r="E491">
            <v>3.2151015741944118</v>
          </cell>
          <cell r="F491">
            <v>3.5525871148069186</v>
          </cell>
          <cell r="G491">
            <v>2.8522683683930317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D492">
            <v>3.4258884500046296</v>
          </cell>
          <cell r="E492">
            <v>5.3189068088880536</v>
          </cell>
          <cell r="F492">
            <v>5.9344730508635477</v>
          </cell>
          <cell r="G492">
            <v>4.7386420001443739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  <cell r="E493">
            <v>6.1330812602888504E-4</v>
          </cell>
          <cell r="F493">
            <v>3.0102576980221001E-2</v>
          </cell>
          <cell r="G493">
            <v>2.8656457429568902E-4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D494">
            <v>0.21737650387413221</v>
          </cell>
          <cell r="E494">
            <v>0.24394087849292206</v>
          </cell>
          <cell r="F494">
            <v>0.27028948245918288</v>
          </cell>
          <cell r="G494">
            <v>0.21645220881217433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D495">
            <v>0.37483022668619692</v>
          </cell>
          <cell r="E495">
            <v>1.3725502317487452</v>
          </cell>
          <cell r="F495">
            <v>1.5237323505547193</v>
          </cell>
          <cell r="G495">
            <v>1.5185178970417148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D496">
            <v>3.8628922420706588E-3</v>
          </cell>
          <cell r="E496">
            <v>1.670728459130252E-2</v>
          </cell>
          <cell r="F496">
            <v>1.7952640075081051E-2</v>
          </cell>
          <cell r="G496">
            <v>1.7125115728144031E-2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D497">
            <v>5.113645657383317E-3</v>
          </cell>
          <cell r="E497">
            <v>1.872510548088327E-2</v>
          </cell>
          <cell r="F497">
            <v>2.0787617333625094E-2</v>
          </cell>
          <cell r="G497">
            <v>2.0716478813665961E-2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  <cell r="E498">
            <v>1.3694529659707599E-3</v>
          </cell>
          <cell r="F498">
            <v>9.0140500855202799E-4</v>
          </cell>
          <cell r="G498">
            <v>3.1066826950986001E-4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D499">
            <v>4.4434453544773254E-4</v>
          </cell>
          <cell r="E499">
            <v>1.8238228472858974E-3</v>
          </cell>
          <cell r="F499">
            <v>2.6315798173359717E-3</v>
          </cell>
          <cell r="G499">
            <v>2.4293511691288305E-3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D500">
            <v>265.53418536709137</v>
          </cell>
          <cell r="E500">
            <v>425.34222282605191</v>
          </cell>
          <cell r="F500">
            <v>432.73280030182559</v>
          </cell>
          <cell r="G500">
            <v>350.21597632863876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D501">
            <v>1.8536275275894587</v>
          </cell>
          <cell r="E501">
            <v>2.9740341713020686</v>
          </cell>
          <cell r="F501">
            <v>3.0191652936503859</v>
          </cell>
          <cell r="G501">
            <v>2.4619557776828818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D502">
            <v>3.5980241919660059</v>
          </cell>
          <cell r="E502">
            <v>5.7634447537405382</v>
          </cell>
          <cell r="F502">
            <v>5.863588079970528</v>
          </cell>
          <cell r="G502">
            <v>4.7454739339923995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  <cell r="E503">
            <v>9.9954810404871697E-4</v>
          </cell>
          <cell r="F503">
            <v>6.5823200721078102E-3</v>
          </cell>
          <cell r="G503">
            <v>2.27282946188675E-4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D504">
            <v>0.18196604051142468</v>
          </cell>
          <cell r="E504">
            <v>0.20461391320185032</v>
          </cell>
          <cell r="F504">
            <v>0.20794063429645313</v>
          </cell>
          <cell r="G504">
            <v>0.16948670125419235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D505">
            <v>68.57667661432356</v>
          </cell>
          <cell r="E505">
            <v>94.455242867457784</v>
          </cell>
          <cell r="F505">
            <v>80.465530030476941</v>
          </cell>
          <cell r="G505">
            <v>62.550269311174603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D506">
            <v>0.65903748475449886</v>
          </cell>
          <cell r="E506">
            <v>0.90748083429040671</v>
          </cell>
          <cell r="F506">
            <v>0.80219708408725143</v>
          </cell>
          <cell r="G506">
            <v>0.64706115004486575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D507">
            <v>0.93556175462924263</v>
          </cell>
          <cell r="E507">
            <v>1.2886117717252081</v>
          </cell>
          <cell r="F507">
            <v>1.0977562077827692</v>
          </cell>
          <cell r="G507">
            <v>0.85334610247168574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  <cell r="E508">
            <v>3.6309192882825401E-4</v>
          </cell>
          <cell r="F508">
            <v>5.3598104140850503E-4</v>
          </cell>
          <cell r="G508">
            <v>1.67925467339949E-4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D509">
            <v>6.4554974894972653E-2</v>
          </cell>
          <cell r="E509">
            <v>6.8857431230479146E-2</v>
          </cell>
          <cell r="F509">
            <v>6.8749746811901741E-2</v>
          </cell>
          <cell r="G509">
            <v>5.2355343712743363E-2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D514">
            <v>237.89810636298449</v>
          </cell>
          <cell r="E514">
            <v>388.71624874622523</v>
          </cell>
          <cell r="F514">
            <v>746.18548330442559</v>
          </cell>
          <cell r="G514">
            <v>623.71040915035371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D515">
            <v>1.3969638897573464</v>
          </cell>
          <cell r="E515">
            <v>2.2823600066295726</v>
          </cell>
          <cell r="F515">
            <v>4.3873848943075719</v>
          </cell>
          <cell r="G515">
            <v>3.6932789459284985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D516">
            <v>3.2235515767342031</v>
          </cell>
          <cell r="E516">
            <v>5.2671578420897625</v>
          </cell>
          <cell r="F516">
            <v>10.110914407919049</v>
          </cell>
          <cell r="G516">
            <v>8.4513605575928619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  <cell r="E517">
            <v>6.9855124588349895E-4</v>
          </cell>
          <cell r="F517">
            <v>0.171451736459135</v>
          </cell>
          <cell r="G517">
            <v>3.1951245703016403E-4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D518">
            <v>0.15702371703118254</v>
          </cell>
          <cell r="E518">
            <v>0.17991997422044659</v>
          </cell>
          <cell r="F518">
            <v>0.34617237452715471</v>
          </cell>
          <cell r="G518">
            <v>0.29127573113345617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D519">
            <v>295.21853723086258</v>
          </cell>
          <cell r="E519">
            <v>390.78809297073803</v>
          </cell>
          <cell r="F519">
            <v>387.22916076918648</v>
          </cell>
          <cell r="G519">
            <v>296.07135886289245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D520">
            <v>2.1530216980394234</v>
          </cell>
          <cell r="E520">
            <v>2.8389965663152728</v>
          </cell>
          <cell r="F520">
            <v>2.8107010649579305</v>
          </cell>
          <cell r="G520">
            <v>2.186212677109538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D521">
            <v>4.0275380249776651</v>
          </cell>
          <cell r="E521">
            <v>5.3313518822747357</v>
          </cell>
          <cell r="F521">
            <v>5.2827989190884885</v>
          </cell>
          <cell r="G521">
            <v>4.0391726993573265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  <cell r="E522">
            <v>3.25554122058093E-4</v>
          </cell>
          <cell r="F522">
            <v>3.7565867712577799E-4</v>
          </cell>
          <cell r="G522">
            <v>1.33004575545041E-4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D523">
            <v>0.1832273960318711</v>
          </cell>
          <cell r="E523">
            <v>0.19531384666076756</v>
          </cell>
          <cell r="F523">
            <v>0.19363509322040501</v>
          </cell>
          <cell r="G523">
            <v>0.1506125832853325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D524">
            <v>141.43646494174243</v>
          </cell>
          <cell r="E524">
            <v>162.01677293865094</v>
          </cell>
          <cell r="F524">
            <v>158.49246882834788</v>
          </cell>
          <cell r="G524">
            <v>113.20084392673149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D525">
            <v>0.89923816076204688</v>
          </cell>
          <cell r="E525">
            <v>1.0071737896564095</v>
          </cell>
          <cell r="F525">
            <v>0.98757858935679066</v>
          </cell>
          <cell r="G525">
            <v>0.72518239330981704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D526">
            <v>1.9295561383593771</v>
          </cell>
          <cell r="E526">
            <v>2.2103243238560788</v>
          </cell>
          <cell r="F526">
            <v>2.1622437766486806</v>
          </cell>
          <cell r="G526">
            <v>1.5443498489322112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  <cell r="E527">
            <v>1.4318397899596501E-4</v>
          </cell>
          <cell r="F527">
            <v>2.23456444346219E-4</v>
          </cell>
          <cell r="G527">
            <v>1.21360931307686E-4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D528">
            <v>7.1260147372555399E-2</v>
          </cell>
          <cell r="E528">
            <v>7.9471854687805557E-2</v>
          </cell>
          <cell r="F528">
            <v>7.8554303440861478E-2</v>
          </cell>
          <cell r="G528">
            <v>6.1464383763062243E-2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  <cell r="D529">
            <v>5.88847323054725</v>
          </cell>
          <cell r="E529">
            <v>1.8838523326667</v>
          </cell>
          <cell r="F529">
            <v>3.8802355617351298</v>
          </cell>
          <cell r="G529">
            <v>4.7829386770683401E-2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  <cell r="D530">
            <v>2.89812335640026E-2</v>
          </cell>
          <cell r="E530">
            <v>9.3581480412183535E-3</v>
          </cell>
          <cell r="F530">
            <v>1.9542281273505387E-2</v>
          </cell>
          <cell r="G530">
            <v>2.4088623346207497E-4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  <cell r="D531">
            <v>0.10440555373310725</v>
          </cell>
          <cell r="E531">
            <v>3.3401637104019534E-2</v>
          </cell>
          <cell r="F531">
            <v>6.8798502867644079E-2</v>
          </cell>
          <cell r="G531">
            <v>8.4803877252984745E-4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  <cell r="D532">
            <v>2.085E-3</v>
          </cell>
          <cell r="E532">
            <v>1.807E-3</v>
          </cell>
          <cell r="F532">
            <v>1.3898894444890355E-3</v>
          </cell>
          <cell r="G532">
            <v>2.0980053338668964E-5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D533">
            <v>5712.4206332185204</v>
          </cell>
          <cell r="E533">
            <v>5582.94396286557</v>
          </cell>
          <cell r="F533">
            <v>5234.5709407476897</v>
          </cell>
          <cell r="G533">
            <v>3031.9167797288701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D534">
            <v>80.683179246270697</v>
          </cell>
          <cell r="E534">
            <v>78.855240602993035</v>
          </cell>
          <cell r="F534">
            <v>73.934947977087589</v>
          </cell>
          <cell r="G534">
            <v>44.362179186219919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D535">
            <v>77.404073620847043</v>
          </cell>
          <cell r="E535">
            <v>75.649647193300396</v>
          </cell>
          <cell r="F535">
            <v>70.929145538586567</v>
          </cell>
          <cell r="G535">
            <v>41.082883194158065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D536">
            <v>4.4825206606088379</v>
          </cell>
          <cell r="E536">
            <v>4.3817250788126199</v>
          </cell>
          <cell r="F536">
            <v>4.1085644836730637</v>
          </cell>
          <cell r="G536">
            <v>3.9409965619628196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D537">
            <v>0.54050647797387796</v>
          </cell>
          <cell r="E537">
            <v>0.54862858828878802</v>
          </cell>
          <cell r="F537">
            <v>0.56858514821931994</v>
          </cell>
          <cell r="G537">
            <v>0.46160471045413137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D538">
            <v>4.8698984808933032E-2</v>
          </cell>
          <cell r="E538">
            <v>4.942822424041516E-2</v>
          </cell>
          <cell r="F538">
            <v>5.1202594923683543E-2</v>
          </cell>
          <cell r="G538">
            <v>4.1471066085482983E-2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D539">
            <v>0.180094259008448</v>
          </cell>
          <cell r="E539">
            <v>9.6458167195956595E-4</v>
          </cell>
          <cell r="F539">
            <v>7.3864841605499401E-3</v>
          </cell>
          <cell r="G539">
            <v>1.43592497935815E-2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D540">
            <v>0.18603419698171825</v>
          </cell>
          <cell r="E540">
            <v>0.18890426802042168</v>
          </cell>
          <cell r="F540">
            <v>0.19629898314200939</v>
          </cell>
          <cell r="G540">
            <v>0.15952013323881845</v>
          </cell>
        </row>
        <row r="541">
          <cell r="A541" t="str">
            <v>TPRLPDSLEXT</v>
          </cell>
          <cell r="B541" t="str">
            <v>VAR_ncap</v>
          </cell>
          <cell r="C541" t="str">
            <v>-</v>
          </cell>
        </row>
        <row r="542">
          <cell r="A542" t="str">
            <v>TPRLPDSLEXT</v>
          </cell>
          <cell r="B542" t="str">
            <v>VAR_cap</v>
          </cell>
          <cell r="C542" t="str">
            <v>-</v>
          </cell>
        </row>
        <row r="543">
          <cell r="A543" t="str">
            <v>T_TW-BEVELC-S2</v>
          </cell>
          <cell r="B543" t="str">
            <v>VAR_fout</v>
          </cell>
          <cell r="C543" t="str">
            <v>TPTWL</v>
          </cell>
          <cell r="D543">
            <v>1.3368462598261462E-2</v>
          </cell>
          <cell r="E543">
            <v>1.6397320649146396E-2</v>
          </cell>
          <cell r="F543">
            <v>2.2879655784238711E-2</v>
          </cell>
          <cell r="G543">
            <v>2.836386352908386E-2</v>
          </cell>
        </row>
        <row r="544">
          <cell r="A544" t="str">
            <v>T_TW-BEVELC-S2</v>
          </cell>
          <cell r="B544" t="str">
            <v>VAR_fin</v>
          </cell>
          <cell r="C544" t="str">
            <v>T-ELC-TWSTGout_S2</v>
          </cell>
          <cell r="D544">
            <v>2.1272035600823098E-3</v>
          </cell>
          <cell r="E544">
            <v>2.6067321460687982E-3</v>
          </cell>
          <cell r="F544">
            <v>3.6240512421855504E-3</v>
          </cell>
          <cell r="G544">
            <v>4.4720984879947192E-3</v>
          </cell>
        </row>
        <row r="545">
          <cell r="A545" t="str">
            <v>T_TW-BEVELC-S2</v>
          </cell>
          <cell r="B545" t="str">
            <v>VAR_ncap</v>
          </cell>
          <cell r="C545" t="str">
            <v>-</v>
          </cell>
          <cell r="D545">
            <v>3.82558214827622E-3</v>
          </cell>
          <cell r="E545">
            <v>9.6737047021545495E-4</v>
          </cell>
          <cell r="F545">
            <v>2.5137245435764601E-3</v>
          </cell>
          <cell r="G545">
            <v>2.23097354188577E-3</v>
          </cell>
        </row>
        <row r="546">
          <cell r="A546" t="str">
            <v>T_TW-BEVELC-S2</v>
          </cell>
          <cell r="B546" t="str">
            <v>VAR_cap</v>
          </cell>
          <cell r="C546" t="str">
            <v>-</v>
          </cell>
          <cell r="D546">
            <v>4.6099730760425645E-3</v>
          </cell>
          <cell r="E546">
            <v>5.679342595844389E-3</v>
          </cell>
          <cell r="F546">
            <v>8.1963423239107044E-3</v>
          </cell>
          <cell r="G546">
            <v>1.0260556257166223E-2</v>
          </cell>
        </row>
        <row r="547">
          <cell r="A547" t="str">
            <v>TFRLFH2OFCL</v>
          </cell>
          <cell r="B547" t="str">
            <v>VAR_fout</v>
          </cell>
          <cell r="C547" t="str">
            <v>TFRLF</v>
          </cell>
        </row>
        <row r="548">
          <cell r="A548" t="str">
            <v>TFRLFH2OFCL</v>
          </cell>
          <cell r="B548" t="str">
            <v>VAR_fin</v>
          </cell>
          <cell r="C548" t="str">
            <v>TH2O</v>
          </cell>
        </row>
        <row r="549">
          <cell r="A549" t="str">
            <v>TFRLFH2OFCL</v>
          </cell>
          <cell r="B549" t="str">
            <v>VAR_ncap</v>
          </cell>
          <cell r="C549" t="str">
            <v>-</v>
          </cell>
        </row>
        <row r="550">
          <cell r="A550" t="str">
            <v>TFRLFH2OFCL</v>
          </cell>
          <cell r="B550" t="str">
            <v>VAR_cap</v>
          </cell>
          <cell r="C550" t="str">
            <v>-</v>
          </cell>
        </row>
        <row r="551">
          <cell r="A551" t="str">
            <v>T_TW-BEVELC-S3</v>
          </cell>
          <cell r="B551" t="str">
            <v>VAR_fout</v>
          </cell>
          <cell r="C551" t="str">
            <v>TPTWL</v>
          </cell>
          <cell r="D551">
            <v>4.987863005171427E-3</v>
          </cell>
          <cell r="E551">
            <v>7.1392395998651579E-3</v>
          </cell>
          <cell r="F551">
            <v>1.0034723067299257E-2</v>
          </cell>
          <cell r="G551">
            <v>1.269072375890113E-2</v>
          </cell>
        </row>
        <row r="552">
          <cell r="A552" t="str">
            <v>T_TW-BEVELC-S3</v>
          </cell>
          <cell r="B552" t="str">
            <v>VAR_fin</v>
          </cell>
          <cell r="C552" t="str">
            <v>T-ELC-TWSTGout_S3</v>
          </cell>
          <cell r="D552">
            <v>1.2194836883613141E-3</v>
          </cell>
          <cell r="E552">
            <v>1.7422849811827615E-3</v>
          </cell>
          <cell r="F552">
            <v>2.4387752232390967E-3</v>
          </cell>
          <cell r="G552">
            <v>3.0676981399679732E-3</v>
          </cell>
        </row>
        <row r="553">
          <cell r="A553" t="str">
            <v>T_TW-BEVELC-S3</v>
          </cell>
          <cell r="B553" t="str">
            <v>VAR_ncap</v>
          </cell>
          <cell r="C553" t="str">
            <v>-</v>
          </cell>
          <cell r="D553">
            <v>1.59339225814964E-3</v>
          </cell>
          <cell r="E553">
            <v>7.1739900755961902E-4</v>
          </cell>
          <cell r="F553">
            <v>1.1287920541554401E-3</v>
          </cell>
          <cell r="G553">
            <v>1.04001370918859E-3</v>
          </cell>
        </row>
        <row r="554">
          <cell r="A554" t="str">
            <v>T_TW-BEVELC-S3</v>
          </cell>
          <cell r="B554" t="str">
            <v>VAR_cap</v>
          </cell>
          <cell r="C554" t="str">
            <v>-</v>
          </cell>
          <cell r="D554">
            <v>1.7000557995725076E-3</v>
          </cell>
          <cell r="E554">
            <v>2.461362979750208E-3</v>
          </cell>
          <cell r="F554">
            <v>3.5932172265865504E-3</v>
          </cell>
          <cell r="G554">
            <v>4.6318274019283524E-3</v>
          </cell>
        </row>
        <row r="555">
          <cell r="A555" t="str">
            <v>T_TW-BEVELC-S4</v>
          </cell>
          <cell r="B555" t="str">
            <v>VAR_fout</v>
          </cell>
          <cell r="C555" t="str">
            <v>TPTWL</v>
          </cell>
          <cell r="D555">
            <v>5.5932426169554321E-3</v>
          </cell>
          <cell r="E555">
            <v>7.9911174030597512E-3</v>
          </cell>
          <cell r="F555">
            <v>1.1192345703748951E-2</v>
          </cell>
          <cell r="G555">
            <v>1.3532204363093027E-2</v>
          </cell>
        </row>
        <row r="556">
          <cell r="A556" t="str">
            <v>T_TW-BEVELC-S4</v>
          </cell>
          <cell r="B556" t="str">
            <v>VAR_fin</v>
          </cell>
          <cell r="C556" t="str">
            <v>T-ELC-TWSTGout_S4</v>
          </cell>
          <cell r="D556">
            <v>1.4855679055475442E-3</v>
          </cell>
          <cell r="E556">
            <v>2.1181164856155111E-3</v>
          </cell>
          <cell r="F556">
            <v>2.953124776114585E-3</v>
          </cell>
          <cell r="G556">
            <v>3.5526627192261728E-3</v>
          </cell>
        </row>
        <row r="557">
          <cell r="A557" t="str">
            <v>T_TW-BEVELC-S4</v>
          </cell>
          <cell r="B557" t="str">
            <v>VAR_ncap</v>
          </cell>
          <cell r="C557" t="str">
            <v>-</v>
          </cell>
          <cell r="D557">
            <v>1.8944662417464001E-3</v>
          </cell>
          <cell r="E557">
            <v>8.3046342862318895E-4</v>
          </cell>
          <cell r="F557">
            <v>1.2557903703884501E-3</v>
          </cell>
          <cell r="G557">
            <v>9.43222349566386E-4</v>
          </cell>
        </row>
        <row r="558">
          <cell r="A558" t="str">
            <v>T_TW-BEVELC-S4</v>
          </cell>
          <cell r="B558" t="str">
            <v>VAR_cap</v>
          </cell>
          <cell r="C558" t="str">
            <v>-</v>
          </cell>
          <cell r="D558">
            <v>1.9072016667167585E-3</v>
          </cell>
          <cell r="E558">
            <v>2.7472394102999896E-3</v>
          </cell>
          <cell r="F558">
            <v>4.0053703286024216E-3</v>
          </cell>
          <cell r="G558">
            <v>4.9439910180838964E-3</v>
          </cell>
        </row>
        <row r="559">
          <cell r="A559" t="str">
            <v>T_B_u-BeVELCEXT</v>
          </cell>
          <cell r="B559" t="str">
            <v>VAR_fout</v>
          </cell>
          <cell r="C559" t="str">
            <v>TPBSu</v>
          </cell>
          <cell r="D559">
            <v>2.069699747680074E-3</v>
          </cell>
          <cell r="E559">
            <v>1.7042181035781467E-3</v>
          </cell>
          <cell r="F559">
            <v>1.0609188645374344E-3</v>
          </cell>
        </row>
        <row r="560">
          <cell r="A560" t="str">
            <v>T_B_u-BeVELCEXT</v>
          </cell>
          <cell r="B560" t="str">
            <v>VAR_fin</v>
          </cell>
          <cell r="C560" t="str">
            <v>TELC</v>
          </cell>
          <cell r="D560">
            <v>4.9389053266720774E-4</v>
          </cell>
          <cell r="E560">
            <v>5.0514049158053328E-4</v>
          </cell>
          <cell r="F560">
            <v>4.9380192075901719E-4</v>
          </cell>
        </row>
        <row r="561">
          <cell r="A561" t="str">
            <v>T_B_u-BeVELCEXT</v>
          </cell>
          <cell r="B561" t="str">
            <v>VAR_cap</v>
          </cell>
          <cell r="C561" t="str">
            <v>-</v>
          </cell>
          <cell r="D561">
            <v>3.77895550061805E-5</v>
          </cell>
          <cell r="E561">
            <v>3.02316440049444E-5</v>
          </cell>
          <cell r="F561">
            <v>1.8858695085942666E-5</v>
          </cell>
        </row>
        <row r="562">
          <cell r="A562" t="str">
            <v>T_B_u-HYBDSL-S1</v>
          </cell>
          <cell r="B562" t="str">
            <v>VAR_fout</v>
          </cell>
          <cell r="C562" t="str">
            <v>CO2_T</v>
          </cell>
          <cell r="E562">
            <v>3.1055704091171799</v>
          </cell>
          <cell r="F562">
            <v>3.726566416103851</v>
          </cell>
          <cell r="G562">
            <v>7.8315909230899892E-3</v>
          </cell>
        </row>
        <row r="563">
          <cell r="A563" t="str">
            <v>T_B_u-HYBDSL-S1</v>
          </cell>
          <cell r="B563" t="str">
            <v>VAR_fout</v>
          </cell>
          <cell r="C563" t="str">
            <v>TPBSu</v>
          </cell>
          <cell r="E563">
            <v>6.8853715802157343E-3</v>
          </cell>
          <cell r="F563">
            <v>8.3313308665358826E-3</v>
          </cell>
          <cell r="G563">
            <v>1.8410561254178524E-5</v>
          </cell>
        </row>
        <row r="564">
          <cell r="A564" t="str">
            <v>T_B_u-HYBDSL-S1</v>
          </cell>
          <cell r="B564" t="str">
            <v>VAR_fin</v>
          </cell>
          <cell r="C564" t="str">
            <v>TDSL</v>
          </cell>
          <cell r="E564">
            <v>4.2367945554122557E-2</v>
          </cell>
          <cell r="F564">
            <v>5.0839923821335009E-2</v>
          </cell>
          <cell r="G564">
            <v>1.0684298667244189E-4</v>
          </cell>
        </row>
        <row r="565">
          <cell r="A565" t="str">
            <v>T_B_u-HYBDSL-S1</v>
          </cell>
          <cell r="B565" t="str">
            <v>VAR_ncap</v>
          </cell>
          <cell r="C565" t="str">
            <v>-</v>
          </cell>
          <cell r="E565">
            <v>1.3191418111123499E-4</v>
          </cell>
          <cell r="F565">
            <v>2.8604252524964101E-5</v>
          </cell>
          <cell r="G565">
            <v>1.14051132886682E-7</v>
          </cell>
        </row>
        <row r="566">
          <cell r="A566" t="str">
            <v>T_B_u-HYBDSL-S1</v>
          </cell>
          <cell r="B566" t="str">
            <v>VAR_cap</v>
          </cell>
          <cell r="C566" t="str">
            <v>-</v>
          </cell>
          <cell r="E566">
            <v>1.3191418111123499E-4</v>
          </cell>
          <cell r="F566">
            <v>1.6046641850460245E-4</v>
          </cell>
          <cell r="G566">
            <v>2.9585494390100306E-7</v>
          </cell>
        </row>
        <row r="567">
          <cell r="A567" t="str">
            <v>T_B_u-HYBDSL-S2</v>
          </cell>
          <cell r="B567" t="str">
            <v>VAR_fout</v>
          </cell>
          <cell r="C567" t="str">
            <v>CO2_T</v>
          </cell>
          <cell r="E567">
            <v>0.20753431178179499</v>
          </cell>
          <cell r="F567">
            <v>0.45230932635329602</v>
          </cell>
          <cell r="G567">
            <v>1.414863422235894E-2</v>
          </cell>
        </row>
        <row r="568">
          <cell r="A568" t="str">
            <v>T_B_u-HYBDSL-S2</v>
          </cell>
          <cell r="B568" t="str">
            <v>VAR_fout</v>
          </cell>
          <cell r="C568" t="str">
            <v>TPBSu</v>
          </cell>
          <cell r="E568">
            <v>3.2982931096350827E-4</v>
          </cell>
          <cell r="F568">
            <v>7.3770140373026569E-4</v>
          </cell>
          <cell r="G568">
            <v>2.3993739364750304E-5</v>
          </cell>
        </row>
        <row r="569">
          <cell r="A569" t="str">
            <v>T_B_u-HYBDSL-S2</v>
          </cell>
          <cell r="B569" t="str">
            <v>VAR_fin</v>
          </cell>
          <cell r="C569" t="str">
            <v>TDSL</v>
          </cell>
          <cell r="E569">
            <v>2.8313002971595458E-3</v>
          </cell>
          <cell r="F569">
            <v>6.1706592954065016E-3</v>
          </cell>
          <cell r="G569">
            <v>1.9302365924091347E-4</v>
          </cell>
        </row>
        <row r="570">
          <cell r="A570" t="str">
            <v>T_B_u-HYBDSL-S2</v>
          </cell>
          <cell r="B570" t="str">
            <v>VAR_ncap</v>
          </cell>
          <cell r="C570" t="str">
            <v>-</v>
          </cell>
          <cell r="E570">
            <v>6.47455541168404E-6</v>
          </cell>
          <cell r="F570">
            <v>7.41861028127293E-6</v>
          </cell>
        </row>
        <row r="571">
          <cell r="A571" t="str">
            <v>T_B_u-HYBDSL-S2</v>
          </cell>
          <cell r="B571" t="str">
            <v>VAR_cap</v>
          </cell>
          <cell r="C571" t="str">
            <v>-</v>
          </cell>
          <cell r="E571">
            <v>6.47455541168404E-6</v>
          </cell>
          <cell r="F571">
            <v>1.387098931789076E-5</v>
          </cell>
          <cell r="G571">
            <v>-1.981638668403008E-7</v>
          </cell>
        </row>
        <row r="572">
          <cell r="A572" t="str">
            <v>T_B_u-HYBDSL-S3</v>
          </cell>
          <cell r="B572" t="str">
            <v>VAR_fout</v>
          </cell>
          <cell r="C572" t="str">
            <v>CO2_T</v>
          </cell>
          <cell r="E572">
            <v>0.38496293837481399</v>
          </cell>
          <cell r="F572">
            <v>0.65407807934547002</v>
          </cell>
          <cell r="G572">
            <v>3.7328529399021801E-2</v>
          </cell>
        </row>
        <row r="573">
          <cell r="A573" t="str">
            <v>T_B_u-HYBDSL-S3</v>
          </cell>
          <cell r="B573" t="str">
            <v>VAR_fout</v>
          </cell>
          <cell r="C573" t="str">
            <v>TPBSu</v>
          </cell>
          <cell r="E573">
            <v>4.108853246442473E-4</v>
          </cell>
          <cell r="F573">
            <v>7.1223003643087286E-4</v>
          </cell>
          <cell r="G573">
            <v>4.2756586093244895E-5</v>
          </cell>
        </row>
        <row r="574">
          <cell r="A574" t="str">
            <v>T_B_u-HYBDSL-S3</v>
          </cell>
          <cell r="B574" t="str">
            <v>VAR_fin</v>
          </cell>
          <cell r="C574" t="str">
            <v>TDSL</v>
          </cell>
          <cell r="E574">
            <v>5.2518818332171081E-3</v>
          </cell>
          <cell r="F574">
            <v>8.9233025831578581E-3</v>
          </cell>
          <cell r="G574">
            <v>5.0925688129633997E-4</v>
          </cell>
        </row>
        <row r="575">
          <cell r="A575" t="str">
            <v>T_B_u-HYBDSL-S3</v>
          </cell>
          <cell r="B575" t="str">
            <v>VAR_ncap</v>
          </cell>
          <cell r="C575" t="str">
            <v>-</v>
          </cell>
          <cell r="E575">
            <v>7.5765616300968696E-6</v>
          </cell>
          <cell r="F575">
            <v>5.1677034530114504E-6</v>
          </cell>
        </row>
        <row r="576">
          <cell r="A576" t="str">
            <v>T_B_u-HYBDSL-S3</v>
          </cell>
          <cell r="B576" t="str">
            <v>VAR_cap</v>
          </cell>
          <cell r="C576" t="str">
            <v>-</v>
          </cell>
          <cell r="E576">
            <v>7.5765616300968696E-6</v>
          </cell>
          <cell r="F576">
            <v>1.27223908605143E-5</v>
          </cell>
          <cell r="G576">
            <v>-3.3946612765426131E-7</v>
          </cell>
        </row>
        <row r="577">
          <cell r="A577" t="str">
            <v>T_C-HY-GSL-S1</v>
          </cell>
          <cell r="B577" t="str">
            <v>VAR_fout</v>
          </cell>
          <cell r="C577" t="str">
            <v>CO2_T</v>
          </cell>
          <cell r="D577">
            <v>2.5507105651720612</v>
          </cell>
          <cell r="E577">
            <v>5.0553019093407485</v>
          </cell>
          <cell r="F577">
            <v>3.9607967592563544</v>
          </cell>
          <cell r="G577">
            <v>3.7180504720302556</v>
          </cell>
        </row>
        <row r="578">
          <cell r="A578" t="str">
            <v>T_C-HY-GSL-S1</v>
          </cell>
          <cell r="B578" t="str">
            <v>VAR_fout</v>
          </cell>
          <cell r="C578" t="str">
            <v>TPCAR</v>
          </cell>
          <cell r="D578">
            <v>3.9544245761628724E-2</v>
          </cell>
          <cell r="E578">
            <v>8.2418655385234726E-2</v>
          </cell>
          <cell r="F578">
            <v>6.4090624872980534E-2</v>
          </cell>
          <cell r="G578">
            <v>6.0292476359118212E-2</v>
          </cell>
        </row>
        <row r="579">
          <cell r="A579" t="str">
            <v>T_C-HY-GSL-S1</v>
          </cell>
          <cell r="B579" t="str">
            <v>VAR_fin</v>
          </cell>
          <cell r="C579" t="str">
            <v>TGSL</v>
          </cell>
          <cell r="D579">
            <v>3.4562473782819222E-2</v>
          </cell>
          <cell r="E579">
            <v>6.8500025871825715E-2</v>
          </cell>
          <cell r="F579">
            <v>5.3669332781251342E-2</v>
          </cell>
          <cell r="G579">
            <v>5.0380087696886809E-2</v>
          </cell>
        </row>
        <row r="580">
          <cell r="A580" t="str">
            <v>T_C-HY-GSL-S1</v>
          </cell>
          <cell r="B580" t="str">
            <v>VAR_ncap</v>
          </cell>
          <cell r="C580" t="str">
            <v>-</v>
          </cell>
          <cell r="E580">
            <v>2.3833149741230701E-3</v>
          </cell>
          <cell r="F580">
            <v>9.2715329699438395E-4</v>
          </cell>
          <cell r="G580">
            <v>7.3091935535186795E-4</v>
          </cell>
        </row>
        <row r="581">
          <cell r="A581" t="str">
            <v>T_C-HY-GSL-S1</v>
          </cell>
          <cell r="B581" t="str">
            <v>VAR_cap</v>
          </cell>
          <cell r="C581" t="str">
            <v>-</v>
          </cell>
          <cell r="D581">
            <v>5.6529398338992396E-3</v>
          </cell>
          <cell r="E581">
            <v>8.9057936238722511E-3</v>
          </cell>
          <cell r="F581">
            <v>9.5786345144476814E-3</v>
          </cell>
          <cell r="G581">
            <v>8.4073590357524822E-3</v>
          </cell>
        </row>
        <row r="582">
          <cell r="A582" t="str">
            <v>T_B_u-HYBDSL-S4</v>
          </cell>
          <cell r="B582" t="str">
            <v>VAR_fout</v>
          </cell>
          <cell r="C582" t="str">
            <v>CO2_T</v>
          </cell>
          <cell r="E582">
            <v>3.2601310840496202E-2</v>
          </cell>
          <cell r="F582">
            <v>6.6536969565303097E-2</v>
          </cell>
          <cell r="G582">
            <v>3.0146236350770218E-2</v>
          </cell>
        </row>
        <row r="583">
          <cell r="A583" t="str">
            <v>T_B_u-HYBDSL-S4</v>
          </cell>
          <cell r="B583" t="str">
            <v>VAR_fout</v>
          </cell>
          <cell r="C583" t="str">
            <v>TPBSu</v>
          </cell>
          <cell r="E583">
            <v>2.3462020289192208E-5</v>
          </cell>
          <cell r="F583">
            <v>4.9018131399460307E-5</v>
          </cell>
          <cell r="G583">
            <v>2.3209544856457946E-5</v>
          </cell>
        </row>
        <row r="584">
          <cell r="A584" t="str">
            <v>T_B_u-HYBDSL-S4</v>
          </cell>
          <cell r="B584" t="str">
            <v>VAR_fin</v>
          </cell>
          <cell r="C584" t="str">
            <v>TDSL</v>
          </cell>
          <cell r="E584">
            <v>4.4476549577757423E-4</v>
          </cell>
          <cell r="F584">
            <v>9.0773491903551413E-4</v>
          </cell>
          <cell r="G584">
            <v>4.1127198295730155E-4</v>
          </cell>
        </row>
        <row r="585">
          <cell r="A585" t="str">
            <v>T_B_u-HYBDSL-S4</v>
          </cell>
          <cell r="B585" t="str">
            <v>VAR_ncap</v>
          </cell>
          <cell r="C585" t="str">
            <v>-</v>
          </cell>
          <cell r="E585">
            <v>2.53157270638397E-7</v>
          </cell>
          <cell r="F585">
            <v>2.4084892996343901E-7</v>
          </cell>
        </row>
        <row r="586">
          <cell r="A586" t="str">
            <v>T_B_u-HYBDSL-S4</v>
          </cell>
          <cell r="B586" t="str">
            <v>VAR_cap</v>
          </cell>
          <cell r="C586" t="str">
            <v>-</v>
          </cell>
          <cell r="E586">
            <v>2.53157270638397E-7</v>
          </cell>
          <cell r="F586">
            <v>4.8198977011186399E-7</v>
          </cell>
          <cell r="G586">
            <v>-1.6412702206230099E-7</v>
          </cell>
        </row>
        <row r="587">
          <cell r="A587" t="str">
            <v>TFRLFDSLEXT</v>
          </cell>
          <cell r="B587" t="str">
            <v>VAR_fout</v>
          </cell>
          <cell r="C587" t="str">
            <v>CO2_T</v>
          </cell>
          <cell r="D587">
            <v>29.026716115673601</v>
          </cell>
          <cell r="E587">
            <v>20.483210323469301</v>
          </cell>
          <cell r="F587">
            <v>0.85506496382361696</v>
          </cell>
          <cell r="G587">
            <v>0.36886879476187701</v>
          </cell>
        </row>
        <row r="588">
          <cell r="A588" t="str">
            <v>TFRLFDSLEXT</v>
          </cell>
          <cell r="B588" t="str">
            <v>VAR_fout</v>
          </cell>
          <cell r="C588" t="str">
            <v>TFRLF</v>
          </cell>
          <cell r="D588">
            <v>1.6050126208400108E-3</v>
          </cell>
          <cell r="E588">
            <v>1.1326052507447326E-3</v>
          </cell>
          <cell r="F588">
            <v>4.7280238422628891E-5</v>
          </cell>
          <cell r="G588">
            <v>2.0396350336963259E-5</v>
          </cell>
        </row>
        <row r="589">
          <cell r="A589" t="str">
            <v>TFRLFDSLEXT</v>
          </cell>
          <cell r="B589" t="str">
            <v>VAR_fin</v>
          </cell>
          <cell r="C589" t="str">
            <v>TDSL</v>
          </cell>
          <cell r="D589">
            <v>0.3959988556026412</v>
          </cell>
          <cell r="E589">
            <v>0.27944352419467</v>
          </cell>
          <cell r="F589">
            <v>1.1665279179039792E-2</v>
          </cell>
          <cell r="G589">
            <v>5.0323164360419762E-3</v>
          </cell>
        </row>
        <row r="590">
          <cell r="A590" t="str">
            <v>TFRLFDSLEXT</v>
          </cell>
          <cell r="B590" t="str">
            <v>VAR_ncap</v>
          </cell>
          <cell r="C590" t="str">
            <v>-</v>
          </cell>
          <cell r="D590">
            <v>1.4836280647518099E-4</v>
          </cell>
          <cell r="F590">
            <v>1.42368381599936E-8</v>
          </cell>
          <cell r="G590">
            <v>1.0216946359665099E-8</v>
          </cell>
        </row>
        <row r="591">
          <cell r="A591" t="str">
            <v>TFRLFDSLEXT</v>
          </cell>
          <cell r="B591" t="str">
            <v>VAR_cap</v>
          </cell>
          <cell r="C591" t="str">
            <v>-</v>
          </cell>
          <cell r="D591">
            <v>1.4836280647518099E-4</v>
          </cell>
          <cell r="E591">
            <v>1.4836280647518099E-4</v>
          </cell>
          <cell r="F591">
            <v>5.0354009549819932E-6</v>
          </cell>
          <cell r="G591">
            <v>2.2984668611770206E-6</v>
          </cell>
        </row>
        <row r="592">
          <cell r="A592" t="str">
            <v>T_C-HY-GSL-S2</v>
          </cell>
          <cell r="B592" t="str">
            <v>VAR_fout</v>
          </cell>
          <cell r="C592" t="str">
            <v>CO2_T</v>
          </cell>
          <cell r="D592">
            <v>7.8758017260258635</v>
          </cell>
          <cell r="E592">
            <v>19.319706839918503</v>
          </cell>
          <cell r="F592">
            <v>67.02440692353872</v>
          </cell>
          <cell r="G592">
            <v>58.411773174246413</v>
          </cell>
        </row>
        <row r="593">
          <cell r="A593" t="str">
            <v>T_C-HY-GSL-S2</v>
          </cell>
          <cell r="B593" t="str">
            <v>VAR_fout</v>
          </cell>
          <cell r="C593" t="str">
            <v>TPCAR</v>
          </cell>
          <cell r="D593">
            <v>0.16550641813199138</v>
          </cell>
          <cell r="E593">
            <v>0.53291916501859804</v>
          </cell>
          <cell r="F593">
            <v>1.742719215255895</v>
          </cell>
          <cell r="G593">
            <v>1.5086315959482244</v>
          </cell>
        </row>
        <row r="594">
          <cell r="A594" t="str">
            <v>T_C-HY-GSL-S2</v>
          </cell>
          <cell r="B594" t="str">
            <v>VAR_fin</v>
          </cell>
          <cell r="C594" t="str">
            <v>TGSL</v>
          </cell>
          <cell r="D594">
            <v>0.10671818056945617</v>
          </cell>
          <cell r="E594">
            <v>0.26178464552735076</v>
          </cell>
          <cell r="F594">
            <v>0.90818979571190506</v>
          </cell>
          <cell r="G594">
            <v>0.79148744138545257</v>
          </cell>
        </row>
        <row r="595">
          <cell r="A595" t="str">
            <v>T_C-HY-GSL-S2</v>
          </cell>
          <cell r="B595" t="str">
            <v>VAR_ncap</v>
          </cell>
          <cell r="C595" t="str">
            <v>-</v>
          </cell>
          <cell r="E595">
            <v>1.13593949905006E-2</v>
          </cell>
          <cell r="F595">
            <v>9.5849985893788903E-2</v>
          </cell>
          <cell r="G595">
            <v>3.72120971133918E-4</v>
          </cell>
        </row>
        <row r="596">
          <cell r="A596" t="str">
            <v>T_C-HY-GSL-S2</v>
          </cell>
          <cell r="B596" t="str">
            <v>VAR_cap</v>
          </cell>
          <cell r="C596" t="str">
            <v>-</v>
          </cell>
          <cell r="D596">
            <v>1.720754687688909E-2</v>
          </cell>
          <cell r="E596">
            <v>4.0433744970812875E-2</v>
          </cell>
          <cell r="F596">
            <v>0.13328677054715315</v>
          </cell>
          <cell r="G596">
            <v>0.11448043222342066</v>
          </cell>
        </row>
        <row r="597">
          <cell r="A597" t="str">
            <v>TPSHPNGAEXT</v>
          </cell>
          <cell r="B597" t="str">
            <v>VAR_ncap</v>
          </cell>
          <cell r="C597" t="str">
            <v>-</v>
          </cell>
          <cell r="D597">
            <v>5.5567259617384799E-5</v>
          </cell>
          <cell r="E597">
            <v>6.3094694859177293E-5</v>
          </cell>
          <cell r="F597">
            <v>1.03514998842754E-4</v>
          </cell>
          <cell r="G597">
            <v>1.01710940981763E-4</v>
          </cell>
        </row>
        <row r="598">
          <cell r="A598" t="str">
            <v>TPSHPNGAEXT</v>
          </cell>
          <cell r="B598" t="str">
            <v>VAR_cap</v>
          </cell>
          <cell r="C598" t="str">
            <v>-</v>
          </cell>
          <cell r="D598">
            <v>5.5567259617384799E-5</v>
          </cell>
          <cell r="E598">
            <v>1.18661954476562E-4</v>
          </cell>
          <cell r="F598">
            <v>1.7072772869948061E-4</v>
          </cell>
          <cell r="G598">
            <v>1.8268821392430202E-4</v>
          </cell>
        </row>
        <row r="599">
          <cell r="A599" t="str">
            <v>T_C-HY-DSL-S1</v>
          </cell>
          <cell r="B599" t="str">
            <v>VAR_fout</v>
          </cell>
          <cell r="C599" t="str">
            <v>CO2_T</v>
          </cell>
          <cell r="D599">
            <v>4.2154000266483001E-3</v>
          </cell>
          <cell r="E599">
            <v>8.2744164300961209</v>
          </cell>
          <cell r="F599">
            <v>5.8854333316666994</v>
          </cell>
          <cell r="G599">
            <v>5.0410692915509312</v>
          </cell>
        </row>
        <row r="600">
          <cell r="A600" t="str">
            <v>T_C-HY-DSL-S1</v>
          </cell>
          <cell r="B600" t="str">
            <v>VAR_fout</v>
          </cell>
          <cell r="C600" t="str">
            <v>TPCAR</v>
          </cell>
          <cell r="D600">
            <v>2.4052576622640294E-5</v>
          </cell>
          <cell r="E600">
            <v>0.19158837462913669</v>
          </cell>
          <cell r="F600">
            <v>0.13462212038638466</v>
          </cell>
          <cell r="G600">
            <v>0.11232532080670031</v>
          </cell>
        </row>
        <row r="601">
          <cell r="A601" t="str">
            <v>T_C-HY-DSL-S1</v>
          </cell>
          <cell r="B601" t="str">
            <v>VAR_fin</v>
          </cell>
          <cell r="C601" t="str">
            <v>TDSL</v>
          </cell>
          <cell r="D601">
            <v>5.7508868030672554E-5</v>
          </cell>
          <cell r="E601">
            <v>0.11288426234783268</v>
          </cell>
          <cell r="F601">
            <v>8.0292405616189652E-2</v>
          </cell>
          <cell r="G601">
            <v>6.8773114482277367E-2</v>
          </cell>
        </row>
        <row r="602">
          <cell r="A602" t="str">
            <v>T_C-HY-DSL-S1</v>
          </cell>
          <cell r="B602" t="str">
            <v>VAR_ncap</v>
          </cell>
          <cell r="C602" t="str">
            <v>-</v>
          </cell>
          <cell r="E602">
            <v>2.0746585813158001E-2</v>
          </cell>
          <cell r="F602">
            <v>1.1131631263202599E-3</v>
          </cell>
          <cell r="G602">
            <v>4.6467117786008403E-4</v>
          </cell>
        </row>
        <row r="603">
          <cell r="A603" t="str">
            <v>T_C-HY-DSL-S1</v>
          </cell>
          <cell r="B603" t="str">
            <v>VAR_cap</v>
          </cell>
          <cell r="C603" t="str">
            <v>-</v>
          </cell>
          <cell r="D603">
            <v>1.5868161048817774E-6</v>
          </cell>
          <cell r="E603">
            <v>2.0471962697990294E-2</v>
          </cell>
          <cell r="F603">
            <v>2.0397043819107511E-2</v>
          </cell>
          <cell r="G603">
            <v>1.6899937006441632E-2</v>
          </cell>
        </row>
        <row r="604">
          <cell r="A604" t="str">
            <v>T_C-HY-GSL-S3</v>
          </cell>
          <cell r="B604" t="str">
            <v>VAR_fout</v>
          </cell>
          <cell r="C604" t="str">
            <v>CO2_T</v>
          </cell>
          <cell r="D604">
            <v>5.7849252459188012</v>
          </cell>
          <cell r="E604">
            <v>82.522951586854902</v>
          </cell>
          <cell r="F604">
            <v>78.447837244217652</v>
          </cell>
          <cell r="G604">
            <v>63.079183031480177</v>
          </cell>
        </row>
        <row r="605">
          <cell r="A605" t="str">
            <v>T_C-HY-GSL-S3</v>
          </cell>
          <cell r="B605" t="str">
            <v>VAR_fout</v>
          </cell>
          <cell r="C605" t="str">
            <v>TPCAR</v>
          </cell>
          <cell r="D605">
            <v>0.14797513335128124</v>
          </cell>
          <cell r="E605">
            <v>2.78530886254278</v>
          </cell>
          <cell r="F605">
            <v>2.6413605861523264</v>
          </cell>
          <cell r="G605">
            <v>2.1318686565833258</v>
          </cell>
        </row>
        <row r="606">
          <cell r="A606" t="str">
            <v>T_C-HY-GSL-S3</v>
          </cell>
          <cell r="B606" t="str">
            <v>VAR_fin</v>
          </cell>
          <cell r="C606" t="str">
            <v>TGSL</v>
          </cell>
          <cell r="D606">
            <v>7.838652094740918E-2</v>
          </cell>
          <cell r="E606">
            <v>1.1181971759736442</v>
          </cell>
          <cell r="F606">
            <v>1.0629788244473974</v>
          </cell>
          <cell r="G606">
            <v>0.85473147739132882</v>
          </cell>
        </row>
        <row r="607">
          <cell r="A607" t="str">
            <v>T_C-HY-GSL-S3</v>
          </cell>
          <cell r="B607" t="str">
            <v>VAR_ncap</v>
          </cell>
          <cell r="C607" t="str">
            <v>-</v>
          </cell>
          <cell r="E607">
            <v>0.16785958398616299</v>
          </cell>
          <cell r="F607">
            <v>8.6175424882739104E-4</v>
          </cell>
          <cell r="G607">
            <v>1.8014931930327501E-4</v>
          </cell>
        </row>
        <row r="608">
          <cell r="A608" t="str">
            <v>T_C-HY-GSL-S3</v>
          </cell>
          <cell r="B608" t="str">
            <v>VAR_cap</v>
          </cell>
          <cell r="C608" t="str">
            <v>-</v>
          </cell>
          <cell r="D608">
            <v>1.423208466707343E-2</v>
          </cell>
          <cell r="E608">
            <v>0.19155586333955948</v>
          </cell>
          <cell r="F608">
            <v>0.18184761788133594</v>
          </cell>
          <cell r="G608">
            <v>0.14665913670261366</v>
          </cell>
        </row>
        <row r="609">
          <cell r="A609" t="str">
            <v>T_C-HY-DSL-S2</v>
          </cell>
          <cell r="B609" t="str">
            <v>VAR_fout</v>
          </cell>
          <cell r="C609" t="str">
            <v>CO2_T</v>
          </cell>
          <cell r="D609">
            <v>0.19512465421411845</v>
          </cell>
          <cell r="E609">
            <v>39.946027433318356</v>
          </cell>
          <cell r="F609">
            <v>94.579730406588453</v>
          </cell>
          <cell r="G609">
            <v>80.581238116321757</v>
          </cell>
        </row>
        <row r="610">
          <cell r="A610" t="str">
            <v>T_C-HY-DSL-S2</v>
          </cell>
          <cell r="B610" t="str">
            <v>VAR_fout</v>
          </cell>
          <cell r="C610" t="str">
            <v>TPCAR</v>
          </cell>
          <cell r="D610">
            <v>3.2122077293299865E-3</v>
          </cell>
          <cell r="E610">
            <v>1.4605929767174555</v>
          </cell>
          <cell r="F610">
            <v>2.8937981857775195</v>
          </cell>
          <cell r="G610">
            <v>2.4421622802251126</v>
          </cell>
        </row>
        <row r="611">
          <cell r="A611" t="str">
            <v>T_C-HY-DSL-S2</v>
          </cell>
          <cell r="B611" t="str">
            <v>VAR_fin</v>
          </cell>
          <cell r="C611" t="str">
            <v>TDSL</v>
          </cell>
          <cell r="D611">
            <v>2.6620007396196323E-3</v>
          </cell>
          <cell r="E611">
            <v>0.54496626784881763</v>
          </cell>
          <cell r="F611">
            <v>1.290310101044863</v>
          </cell>
          <cell r="G611">
            <v>1.0993347628420445</v>
          </cell>
        </row>
        <row r="612">
          <cell r="A612" t="str">
            <v>T_C-HY-DSL-S2</v>
          </cell>
          <cell r="B612" t="str">
            <v>VAR_ncap</v>
          </cell>
          <cell r="C612" t="str">
            <v>-</v>
          </cell>
          <cell r="E612">
            <v>0.11178766367062599</v>
          </cell>
          <cell r="F612">
            <v>0.116658268884131</v>
          </cell>
          <cell r="G612">
            <v>2.5666565112760501E-4</v>
          </cell>
        </row>
        <row r="613">
          <cell r="A613" t="str">
            <v>T_C-HY-DSL-S2</v>
          </cell>
          <cell r="B613" t="str">
            <v>VAR_cap</v>
          </cell>
          <cell r="C613" t="str">
            <v>-</v>
          </cell>
          <cell r="D613">
            <v>2.5959187828813481E-4</v>
          </cell>
          <cell r="E613">
            <v>0.11081972724901266</v>
          </cell>
          <cell r="F613">
            <v>0.21958416158331898</v>
          </cell>
          <cell r="G613">
            <v>0.18531878662019735</v>
          </cell>
        </row>
        <row r="614">
          <cell r="A614" t="str">
            <v>D-T-ELC-Bus_c_S1</v>
          </cell>
          <cell r="B614" t="str">
            <v>VAR_fout</v>
          </cell>
          <cell r="C614" t="str">
            <v>T-ELC-Bus_c_BatSTGin_S1</v>
          </cell>
          <cell r="D614">
            <v>6.8482051459098771E-4</v>
          </cell>
          <cell r="E614">
            <v>4.8682230371956577E-3</v>
          </cell>
          <cell r="F614">
            <v>8.9874180997952594E-3</v>
          </cell>
          <cell r="G614">
            <v>0.14980736947095355</v>
          </cell>
        </row>
        <row r="615">
          <cell r="A615" t="str">
            <v>D-T-ELC-Bus_c_S1</v>
          </cell>
          <cell r="B615" t="str">
            <v>VAR_fin</v>
          </cell>
          <cell r="C615" t="str">
            <v>TELC</v>
          </cell>
          <cell r="D615">
            <v>6.8482051459098771E-4</v>
          </cell>
          <cell r="E615">
            <v>4.8682230371956577E-3</v>
          </cell>
          <cell r="F615">
            <v>8.9874180997952594E-3</v>
          </cell>
          <cell r="G615">
            <v>0.14980736947095355</v>
          </cell>
        </row>
        <row r="616">
          <cell r="A616" t="str">
            <v>D-T-ELC-Bus_c_S1</v>
          </cell>
          <cell r="B616" t="str">
            <v>VAR_ncap</v>
          </cell>
          <cell r="C616" t="str">
            <v>-</v>
          </cell>
          <cell r="D616">
            <v>3.33952640756795E-4</v>
          </cell>
          <cell r="E616">
            <v>4.39280055729071E-4</v>
          </cell>
          <cell r="F616">
            <v>8.0921261236049295E-4</v>
          </cell>
          <cell r="G616">
            <v>1.6976547707801201E-2</v>
          </cell>
        </row>
        <row r="617">
          <cell r="A617" t="str">
            <v>D-T-ELC-Bus_c_S1</v>
          </cell>
          <cell r="B617" t="str">
            <v>VAR_cap</v>
          </cell>
          <cell r="C617" t="str">
            <v>-</v>
          </cell>
          <cell r="D617">
            <v>3.33952640756795E-4</v>
          </cell>
          <cell r="E617">
            <v>7.7323269648586605E-4</v>
          </cell>
          <cell r="F617">
            <v>1.58244530884636E-3</v>
          </cell>
          <cell r="G617">
            <v>1.8411189840546901E-2</v>
          </cell>
        </row>
        <row r="618">
          <cell r="A618" t="str">
            <v>T_C-HY-GSL-S4</v>
          </cell>
          <cell r="B618" t="str">
            <v>VAR_fout</v>
          </cell>
          <cell r="C618" t="str">
            <v>CO2_T</v>
          </cell>
          <cell r="D618">
            <v>4.9511879048838736</v>
          </cell>
          <cell r="E618">
            <v>10.765871482885698</v>
          </cell>
          <cell r="F618">
            <v>10.659353892153838</v>
          </cell>
          <cell r="G618">
            <v>9.2609936373240966</v>
          </cell>
        </row>
        <row r="619">
          <cell r="A619" t="str">
            <v>T_C-HY-GSL-S4</v>
          </cell>
          <cell r="B619" t="str">
            <v>VAR_fout</v>
          </cell>
          <cell r="C619" t="str">
            <v>TPCAR</v>
          </cell>
          <cell r="D619">
            <v>7.5599923996085908E-2</v>
          </cell>
          <cell r="E619">
            <v>0.19799424185682285</v>
          </cell>
          <cell r="F619">
            <v>0.19545508836373904</v>
          </cell>
          <cell r="G619">
            <v>0.16798418529458203</v>
          </cell>
        </row>
        <row r="620">
          <cell r="A620" t="str">
            <v>T_C-HY-GSL-S4</v>
          </cell>
          <cell r="B620" t="str">
            <v>VAR_fin</v>
          </cell>
          <cell r="C620" t="str">
            <v>TGSL</v>
          </cell>
          <cell r="D620">
            <v>6.7089267003846625E-2</v>
          </cell>
          <cell r="E620">
            <v>0.14587901738327488</v>
          </cell>
          <cell r="F620">
            <v>0.14443568959558051</v>
          </cell>
          <cell r="G620">
            <v>0.12548771866292832</v>
          </cell>
        </row>
        <row r="621">
          <cell r="A621" t="str">
            <v>T_C-HY-GSL-S4</v>
          </cell>
          <cell r="B621" t="str">
            <v>VAR_ncap</v>
          </cell>
          <cell r="C621" t="str">
            <v>-</v>
          </cell>
          <cell r="E621">
            <v>1.6040739777999199E-3</v>
          </cell>
          <cell r="F621">
            <v>7.4775501056558097E-4</v>
          </cell>
          <cell r="G621">
            <v>2.1851242468750399E-4</v>
          </cell>
        </row>
        <row r="622">
          <cell r="A622" t="str">
            <v>T_C-HY-GSL-S4</v>
          </cell>
          <cell r="B622" t="str">
            <v>VAR_cap</v>
          </cell>
          <cell r="C622" t="str">
            <v>-</v>
          </cell>
          <cell r="D622">
            <v>8.2998524796518564E-3</v>
          </cell>
          <cell r="E622">
            <v>1.565356942997902E-2</v>
          </cell>
          <cell r="F622">
            <v>1.5726862391328832E-2</v>
          </cell>
          <cell r="G622">
            <v>1.3344863982829696E-2</v>
          </cell>
        </row>
        <row r="623">
          <cell r="A623" t="str">
            <v>T_C-HY-DSL-S3</v>
          </cell>
          <cell r="B623" t="str">
            <v>VAR_fout</v>
          </cell>
          <cell r="C623" t="str">
            <v>CO2_T</v>
          </cell>
          <cell r="D623">
            <v>1.9522711923999618</v>
          </cell>
          <cell r="E623">
            <v>4.1191424159658796</v>
          </cell>
          <cell r="F623">
            <v>4.3534937391531878</v>
          </cell>
          <cell r="G623">
            <v>3.5541183038370336</v>
          </cell>
        </row>
        <row r="624">
          <cell r="A624" t="str">
            <v>T_C-HY-DSL-S3</v>
          </cell>
          <cell r="B624" t="str">
            <v>VAR_fout</v>
          </cell>
          <cell r="C624" t="str">
            <v>TPCAR</v>
          </cell>
          <cell r="D624">
            <v>2.3972516648662373E-2</v>
          </cell>
          <cell r="E624">
            <v>7.19368995230103E-2</v>
          </cell>
          <cell r="F624">
            <v>7.5683042431275327E-2</v>
          </cell>
          <cell r="G624">
            <v>6.281361252420474E-2</v>
          </cell>
        </row>
        <row r="625">
          <cell r="A625" t="str">
            <v>T_C-HY-DSL-S3</v>
          </cell>
          <cell r="B625" t="str">
            <v>VAR_fin</v>
          </cell>
          <cell r="C625" t="str">
            <v>TDSL</v>
          </cell>
          <cell r="D625">
            <v>2.6633986253751213E-2</v>
          </cell>
          <cell r="E625">
            <v>5.6195667339234347E-2</v>
          </cell>
          <cell r="F625">
            <v>5.9392820452294506E-2</v>
          </cell>
          <cell r="G625">
            <v>4.8487289274720791E-2</v>
          </cell>
        </row>
        <row r="626">
          <cell r="A626" t="str">
            <v>T_C-HY-DSL-S3</v>
          </cell>
          <cell r="B626" t="str">
            <v>VAR_ncap</v>
          </cell>
          <cell r="C626" t="str">
            <v>-</v>
          </cell>
          <cell r="E626">
            <v>1.31706557345668E-3</v>
          </cell>
          <cell r="F626">
            <v>5.70912914757877E-4</v>
          </cell>
          <cell r="G626">
            <v>1.4206156446066399E-4</v>
          </cell>
        </row>
        <row r="627">
          <cell r="A627" t="str">
            <v>T_C-HY-DSL-S3</v>
          </cell>
          <cell r="B627" t="str">
            <v>VAR_cap</v>
          </cell>
          <cell r="C627" t="str">
            <v>-</v>
          </cell>
          <cell r="D627">
            <v>1.8547760842216104E-3</v>
          </cell>
          <cell r="E627">
            <v>4.9733878861103588E-3</v>
          </cell>
          <cell r="F627">
            <v>5.2857423316731008E-3</v>
          </cell>
          <cell r="G627">
            <v>4.3893387195326405E-3</v>
          </cell>
        </row>
        <row r="628">
          <cell r="A628" t="str">
            <v>D-T-ELC-Bus_c_S2</v>
          </cell>
          <cell r="B628" t="str">
            <v>VAR_fout</v>
          </cell>
          <cell r="C628" t="str">
            <v>T-ELC-Bus_c_BatSTGin_S2</v>
          </cell>
          <cell r="D628">
            <v>1.9454493494821454E-3</v>
          </cell>
          <cell r="E628">
            <v>5.2830230195237632E-3</v>
          </cell>
          <cell r="F628">
            <v>8.0951794046205932E-3</v>
          </cell>
          <cell r="G628">
            <v>0.18316803309782481</v>
          </cell>
        </row>
        <row r="629">
          <cell r="A629" t="str">
            <v>D-T-ELC-Bus_c_S2</v>
          </cell>
          <cell r="B629" t="str">
            <v>VAR_fin</v>
          </cell>
          <cell r="C629" t="str">
            <v>TELC</v>
          </cell>
          <cell r="D629">
            <v>1.9454493494821454E-3</v>
          </cell>
          <cell r="E629">
            <v>5.2830230195237632E-3</v>
          </cell>
          <cell r="F629">
            <v>8.0951794046205932E-3</v>
          </cell>
          <cell r="G629">
            <v>0.18316803309782481</v>
          </cell>
        </row>
        <row r="630">
          <cell r="A630" t="str">
            <v>D-T-ELC-Bus_c_S2</v>
          </cell>
          <cell r="B630" t="str">
            <v>VAR_ncap</v>
          </cell>
          <cell r="C630" t="str">
            <v>-</v>
          </cell>
          <cell r="D630">
            <v>3.6201928586359201E-4</v>
          </cell>
          <cell r="E630">
            <v>3.6637286109147998E-4</v>
          </cell>
          <cell r="F630">
            <v>5.8889725987097197E-4</v>
          </cell>
          <cell r="G630">
            <v>2.1314007469367999E-2</v>
          </cell>
        </row>
        <row r="631">
          <cell r="A631" t="str">
            <v>D-T-ELC-Bus_c_S2</v>
          </cell>
          <cell r="B631" t="str">
            <v>VAR_cap</v>
          </cell>
          <cell r="C631" t="str">
            <v>-</v>
          </cell>
          <cell r="D631">
            <v>3.6201928586359201E-4</v>
          </cell>
          <cell r="E631">
            <v>7.2839214695507096E-4</v>
          </cell>
          <cell r="F631">
            <v>1.31728940682604E-3</v>
          </cell>
          <cell r="G631">
            <v>2.2485623198155901E-2</v>
          </cell>
        </row>
        <row r="632">
          <cell r="A632" t="str">
            <v>T_C-HY-DSL-S4</v>
          </cell>
          <cell r="B632" t="str">
            <v>VAR_fout</v>
          </cell>
          <cell r="C632" t="str">
            <v>CO2_T</v>
          </cell>
          <cell r="D632">
            <v>2.5374087406296995</v>
          </cell>
          <cell r="E632">
            <v>6.2317848109691596</v>
          </cell>
          <cell r="F632">
            <v>6.367453345063204</v>
          </cell>
          <cell r="G632">
            <v>5.4492238230556902</v>
          </cell>
        </row>
        <row r="633">
          <cell r="A633" t="str">
            <v>T_C-HY-DSL-S4</v>
          </cell>
          <cell r="B633" t="str">
            <v>VAR_fout</v>
          </cell>
          <cell r="C633" t="str">
            <v>TPCAR</v>
          </cell>
          <cell r="D633">
            <v>4.6522939444611E-2</v>
          </cell>
          <cell r="E633">
            <v>0.1355030272173558</v>
          </cell>
          <cell r="F633">
            <v>0.13692709254562699</v>
          </cell>
          <cell r="G633">
            <v>0.11637892974032932</v>
          </cell>
        </row>
        <row r="634">
          <cell r="A634" t="str">
            <v>T_C-HY-DSL-S4</v>
          </cell>
          <cell r="B634" t="str">
            <v>VAR_fin</v>
          </cell>
          <cell r="C634" t="str">
            <v>TDSL</v>
          </cell>
          <cell r="D634">
            <v>3.461676317366575E-2</v>
          </cell>
          <cell r="E634">
            <v>8.5017528116905133E-2</v>
          </cell>
          <cell r="F634">
            <v>8.6868394884900446E-2</v>
          </cell>
          <cell r="G634">
            <v>7.4341389127635729E-2</v>
          </cell>
        </row>
        <row r="635">
          <cell r="A635" t="str">
            <v>T_C-HY-DSL-S4</v>
          </cell>
          <cell r="B635" t="str">
            <v>VAR_ncap</v>
          </cell>
          <cell r="C635" t="str">
            <v>-</v>
          </cell>
          <cell r="E635">
            <v>1.9638124792490399E-3</v>
          </cell>
          <cell r="F635">
            <v>7.3896376728470597E-4</v>
          </cell>
          <cell r="G635">
            <v>1.7254471853015501E-4</v>
          </cell>
        </row>
        <row r="636">
          <cell r="A636" t="str">
            <v>T_C-HY-DSL-S4</v>
          </cell>
          <cell r="B636" t="str">
            <v>VAR_cap</v>
          </cell>
          <cell r="C636" t="str">
            <v>-</v>
          </cell>
          <cell r="D636">
            <v>3.7723079663037453E-3</v>
          </cell>
          <cell r="E636">
            <v>1.0707034858511696E-2</v>
          </cell>
          <cell r="F636">
            <v>1.0916793570821542E-2</v>
          </cell>
          <cell r="G636">
            <v>9.2780301362931413E-3</v>
          </cell>
        </row>
        <row r="637">
          <cell r="A637" t="str">
            <v>D-T-ELC-Bus_c_S3</v>
          </cell>
          <cell r="B637" t="str">
            <v>VAR_fout</v>
          </cell>
          <cell r="C637" t="str">
            <v>T-ELC-Bus_c_BatSTGin_S3</v>
          </cell>
          <cell r="D637">
            <v>1.3490000715543589E-3</v>
          </cell>
          <cell r="E637">
            <v>2.8967263092766322E-3</v>
          </cell>
          <cell r="F637">
            <v>4.4874859541610334E-3</v>
          </cell>
          <cell r="G637">
            <v>6.0670490177336292E-2</v>
          </cell>
        </row>
        <row r="638">
          <cell r="A638" t="str">
            <v>D-T-ELC-Bus_c_S3</v>
          </cell>
          <cell r="B638" t="str">
            <v>VAR_fin</v>
          </cell>
          <cell r="C638" t="str">
            <v>TELC</v>
          </cell>
          <cell r="D638">
            <v>1.3490000715543589E-3</v>
          </cell>
          <cell r="E638">
            <v>2.8967263092766322E-3</v>
          </cell>
          <cell r="F638">
            <v>4.4874859541610334E-3</v>
          </cell>
          <cell r="G638">
            <v>6.0670490177336292E-2</v>
          </cell>
        </row>
        <row r="639">
          <cell r="A639" t="str">
            <v>D-T-ELC-Bus_c_S3</v>
          </cell>
          <cell r="B639" t="str">
            <v>VAR_ncap</v>
          </cell>
          <cell r="C639" t="str">
            <v>-</v>
          </cell>
          <cell r="D639">
            <v>2.3380276953360101E-4</v>
          </cell>
          <cell r="E639">
            <v>1.56831582560708E-4</v>
          </cell>
          <cell r="F639">
            <v>2.1820378199583E-4</v>
          </cell>
          <cell r="G639">
            <v>6.3774652287248903E-3</v>
          </cell>
        </row>
        <row r="640">
          <cell r="A640" t="str">
            <v>D-T-ELC-Bus_c_S3</v>
          </cell>
          <cell r="B640" t="str">
            <v>VAR_cap</v>
          </cell>
          <cell r="C640" t="str">
            <v>-</v>
          </cell>
          <cell r="D640">
            <v>2.3380276953360101E-4</v>
          </cell>
          <cell r="E640">
            <v>3.90634352094309E-4</v>
          </cell>
          <cell r="F640">
            <v>6.0883813409013895E-4</v>
          </cell>
          <cell r="G640">
            <v>6.7937577201841702E-3</v>
          </cell>
        </row>
        <row r="641">
          <cell r="A641" t="str">
            <v>D-T-ELC-Bus_c_S4</v>
          </cell>
          <cell r="B641" t="str">
            <v>VAR_fout</v>
          </cell>
          <cell r="C641" t="str">
            <v>T-ELC-Bus_c_BatSTGin_S4</v>
          </cell>
          <cell r="D641">
            <v>1.298333414444344E-4</v>
          </cell>
          <cell r="E641">
            <v>1.0337368842511894E-3</v>
          </cell>
          <cell r="F641">
            <v>1.7365705200496596E-3</v>
          </cell>
          <cell r="G641">
            <v>1.4177549033245749E-3</v>
          </cell>
        </row>
        <row r="642">
          <cell r="A642" t="str">
            <v>D-T-ELC-Bus_c_S4</v>
          </cell>
          <cell r="B642" t="str">
            <v>VAR_fin</v>
          </cell>
          <cell r="C642" t="str">
            <v>TELC</v>
          </cell>
          <cell r="D642">
            <v>1.298333414444344E-4</v>
          </cell>
          <cell r="E642">
            <v>1.0337368842511894E-3</v>
          </cell>
          <cell r="F642">
            <v>1.7365705200496596E-3</v>
          </cell>
          <cell r="G642">
            <v>1.4177549033245749E-3</v>
          </cell>
        </row>
        <row r="643">
          <cell r="A643" t="str">
            <v>D-T-ELC-Bus_c_S4</v>
          </cell>
          <cell r="B643" t="str">
            <v>VAR_ncap</v>
          </cell>
          <cell r="C643" t="str">
            <v>-</v>
          </cell>
          <cell r="D643">
            <v>1.06556487372126E-4</v>
          </cell>
          <cell r="E643">
            <v>7.1022549610231104E-5</v>
          </cell>
          <cell r="F643">
            <v>5.9895154822909499E-5</v>
          </cell>
          <cell r="G643">
            <v>4.88801010490071E-5</v>
          </cell>
        </row>
        <row r="644">
          <cell r="A644" t="str">
            <v>D-T-ELC-Bus_c_S4</v>
          </cell>
          <cell r="B644" t="str">
            <v>VAR_cap</v>
          </cell>
          <cell r="C644" t="str">
            <v>-</v>
          </cell>
          <cell r="D644">
            <v>1.06556487372126E-4</v>
          </cell>
          <cell r="E644">
            <v>1.7757903698235799E-4</v>
          </cell>
          <cell r="F644">
            <v>2.3747419180526701E-4</v>
          </cell>
          <cell r="G644">
            <v>1.30637670682489E-4</v>
          </cell>
        </row>
        <row r="645">
          <cell r="A645" t="str">
            <v>D-TH2O</v>
          </cell>
          <cell r="B645" t="str">
            <v>VAR_fout</v>
          </cell>
          <cell r="C645" t="str">
            <v>TH2Ointl</v>
          </cell>
        </row>
        <row r="646">
          <cell r="A646" t="str">
            <v>D-TH2O</v>
          </cell>
          <cell r="B646" t="str">
            <v>VAR_fout</v>
          </cell>
          <cell r="C646" t="str">
            <v>TH2O</v>
          </cell>
          <cell r="D646">
            <v>5.0244558197298922E-3</v>
          </cell>
          <cell r="E646">
            <v>1.8391305128838041E-2</v>
          </cell>
          <cell r="F646">
            <v>1.9456551349257039E-2</v>
          </cell>
          <cell r="G646">
            <v>1.0049276406189422E-2</v>
          </cell>
        </row>
        <row r="647">
          <cell r="A647" t="str">
            <v>D-TH2O</v>
          </cell>
          <cell r="B647" t="str">
            <v>VAR_fin</v>
          </cell>
          <cell r="C647" t="str">
            <v>H2</v>
          </cell>
          <cell r="D647">
            <v>5.0244558197298922E-3</v>
          </cell>
          <cell r="E647">
            <v>1.8391305128838041E-2</v>
          </cell>
          <cell r="F647">
            <v>1.9456551349257039E-2</v>
          </cell>
          <cell r="G647">
            <v>1.0049276406189422E-2</v>
          </cell>
        </row>
        <row r="648">
          <cell r="A648" t="str">
            <v>D-TH2O</v>
          </cell>
          <cell r="B648" t="str">
            <v>VAR_ncap</v>
          </cell>
          <cell r="C648" t="str">
            <v>-</v>
          </cell>
          <cell r="D648">
            <v>2.9025192325168002E-3</v>
          </cell>
          <cell r="E648">
            <v>9.9805403971972009E-4</v>
          </cell>
          <cell r="F648">
            <v>6.3022333457983699E-5</v>
          </cell>
          <cell r="G648">
            <v>1.6572502367174999E-5</v>
          </cell>
        </row>
        <row r="649">
          <cell r="A649" t="str">
            <v>D-TH2O</v>
          </cell>
          <cell r="B649" t="str">
            <v>VAR_cap</v>
          </cell>
          <cell r="C649" t="str">
            <v>-</v>
          </cell>
          <cell r="D649">
            <v>2.9025192325168002E-3</v>
          </cell>
          <cell r="E649">
            <v>3.9005732722365198E-3</v>
          </cell>
          <cell r="F649">
            <v>3.9635956056945001E-3</v>
          </cell>
          <cell r="G649">
            <v>3.9801681080616803E-3</v>
          </cell>
        </row>
        <row r="650">
          <cell r="A650" t="str">
            <v>TFHGV-HYBDSL</v>
          </cell>
          <cell r="B650" t="str">
            <v>VAR_fout</v>
          </cell>
          <cell r="C650" t="str">
            <v>CO2_T</v>
          </cell>
          <cell r="E650">
            <v>75.893807173010103</v>
          </cell>
          <cell r="F650">
            <v>296.60628176182621</v>
          </cell>
          <cell r="G650">
            <v>477.9291488060793</v>
          </cell>
        </row>
        <row r="651">
          <cell r="A651" t="str">
            <v>TFHGV-HYBDSL</v>
          </cell>
          <cell r="B651" t="str">
            <v>VAR_fout</v>
          </cell>
          <cell r="C651" t="str">
            <v>TFHGV</v>
          </cell>
          <cell r="E651">
            <v>0.1692513199482989</v>
          </cell>
          <cell r="F651">
            <v>0.66146378160613506</v>
          </cell>
          <cell r="G651">
            <v>1.0658331989169563</v>
          </cell>
        </row>
        <row r="652">
          <cell r="A652" t="str">
            <v>TFHGV-HYBDSL</v>
          </cell>
          <cell r="B652" t="str">
            <v>VAR_fin</v>
          </cell>
          <cell r="C652" t="str">
            <v>TDSL</v>
          </cell>
          <cell r="E652">
            <v>1.0353861824421562</v>
          </cell>
          <cell r="F652">
            <v>4.0464704196701975</v>
          </cell>
          <cell r="G652">
            <v>6.5201793834390145</v>
          </cell>
        </row>
        <row r="653">
          <cell r="A653" t="str">
            <v>TFHGV-HYBDSL</v>
          </cell>
          <cell r="B653" t="str">
            <v>VAR_ncap</v>
          </cell>
          <cell r="C653" t="str">
            <v>-</v>
          </cell>
          <cell r="E653">
            <v>3.18472139235815E-3</v>
          </cell>
          <cell r="F653">
            <v>9.2671659425573299E-3</v>
          </cell>
          <cell r="G653">
            <v>1.23072541278093E-2</v>
          </cell>
        </row>
        <row r="654">
          <cell r="A654" t="str">
            <v>TFHGV-HYBDSL</v>
          </cell>
          <cell r="B654" t="str">
            <v>VAR_cap</v>
          </cell>
          <cell r="C654" t="str">
            <v>-</v>
          </cell>
          <cell r="E654">
            <v>3.18472139235815E-3</v>
          </cell>
          <cell r="F654">
            <v>1.245178270525542E-2</v>
          </cell>
          <cell r="G654">
            <v>2.0054690490280275E-2</v>
          </cell>
        </row>
        <row r="655">
          <cell r="A655" t="str">
            <v>D-TKER</v>
          </cell>
          <cell r="B655" t="str">
            <v>VAR_fout</v>
          </cell>
          <cell r="C655" t="str">
            <v>CO2</v>
          </cell>
          <cell r="D655">
            <v>80.762820585747406</v>
          </cell>
          <cell r="E655">
            <v>102.218636272818</v>
          </cell>
          <cell r="F655">
            <v>133.09863280012999</v>
          </cell>
          <cell r="G655">
            <v>178.052048756803</v>
          </cell>
        </row>
        <row r="656">
          <cell r="A656" t="str">
            <v>D-TKER</v>
          </cell>
          <cell r="B656" t="str">
            <v>VAR_fout</v>
          </cell>
          <cell r="C656" t="str">
            <v>TKER</v>
          </cell>
          <cell r="D656">
            <v>1.0930758477492399</v>
          </cell>
          <cell r="E656">
            <v>1.3834673144068099</v>
          </cell>
          <cell r="F656">
            <v>1.8014093592459399</v>
          </cell>
          <cell r="G656">
            <v>2.4098266099026899</v>
          </cell>
        </row>
        <row r="657">
          <cell r="A657" t="str">
            <v>D-TKER</v>
          </cell>
          <cell r="B657" t="str">
            <v>VAR_fin</v>
          </cell>
          <cell r="C657" t="str">
            <v>KER</v>
          </cell>
          <cell r="D657">
            <v>1.1093794036503803</v>
          </cell>
          <cell r="E657">
            <v>1.4041021466046504</v>
          </cell>
          <cell r="F657">
            <v>1.8282779230786981</v>
          </cell>
          <cell r="G657">
            <v>2.4457699005055282</v>
          </cell>
        </row>
        <row r="658">
          <cell r="A658" t="str">
            <v>T_B_u-BEVELC-S1</v>
          </cell>
          <cell r="B658" t="str">
            <v>VAR_fout</v>
          </cell>
          <cell r="C658" t="str">
            <v>TPBSu</v>
          </cell>
          <cell r="D658">
            <v>2.1119754479936794E-5</v>
          </cell>
          <cell r="E658">
            <v>1.283020964777295E-2</v>
          </cell>
          <cell r="F658">
            <v>1.8584211028950502E-2</v>
          </cell>
          <cell r="G658">
            <v>0.1062158456128276</v>
          </cell>
        </row>
        <row r="659">
          <cell r="A659" t="str">
            <v>T_B_u-BEVELC-S1</v>
          </cell>
          <cell r="B659" t="str">
            <v>VAR_fin</v>
          </cell>
          <cell r="C659" t="str">
            <v>T-ELC-Bus_u_BatSTGout_S1</v>
          </cell>
          <cell r="D659">
            <v>5.5770089166643053E-5</v>
          </cell>
          <cell r="E659">
            <v>3.2695543653846922E-2</v>
          </cell>
          <cell r="F659">
            <v>4.662099818298291E-2</v>
          </cell>
          <cell r="G659">
            <v>0.23800502487370898</v>
          </cell>
        </row>
        <row r="660">
          <cell r="A660" t="str">
            <v>T_B_u-BEVELC-S1</v>
          </cell>
          <cell r="B660" t="str">
            <v>VAR_ncap</v>
          </cell>
          <cell r="C660" t="str">
            <v>-</v>
          </cell>
          <cell r="E660">
            <v>2.4607180248566201E-4</v>
          </cell>
          <cell r="F660">
            <v>1.1511042041621E-4</v>
          </cell>
          <cell r="G660">
            <v>1.9691755137007999E-3</v>
          </cell>
        </row>
        <row r="661">
          <cell r="A661" t="str">
            <v>T_B_u-BEVELC-S1</v>
          </cell>
          <cell r="B661" t="str">
            <v>VAR_cap</v>
          </cell>
          <cell r="C661" t="str">
            <v>-</v>
          </cell>
          <cell r="D661">
            <v>3.02390998593531E-8</v>
          </cell>
          <cell r="E661">
            <v>2.4611329334360858E-4</v>
          </cell>
          <cell r="F661">
            <v>3.5896055816397225E-4</v>
          </cell>
          <cell r="G661">
            <v>2.0260977958782007E-3</v>
          </cell>
        </row>
        <row r="662">
          <cell r="A662" t="str">
            <v>TPSHPH2OEXT</v>
          </cell>
          <cell r="B662" t="str">
            <v>VAR_fout</v>
          </cell>
          <cell r="C662" t="str">
            <v>TPSHP</v>
          </cell>
        </row>
        <row r="663">
          <cell r="A663" t="str">
            <v>TPSHPH2OEXT</v>
          </cell>
          <cell r="B663" t="str">
            <v>VAR_fin</v>
          </cell>
          <cell r="C663" t="str">
            <v>TH2O</v>
          </cell>
        </row>
        <row r="664">
          <cell r="A664" t="str">
            <v>TPSHPH2OEXT</v>
          </cell>
          <cell r="B664" t="str">
            <v>VAR_ncap</v>
          </cell>
          <cell r="C664" t="str">
            <v>-</v>
          </cell>
        </row>
        <row r="665">
          <cell r="A665" t="str">
            <v>TPSHPH2OEXT</v>
          </cell>
          <cell r="B665" t="str">
            <v>VAR_cap</v>
          </cell>
          <cell r="C665" t="str">
            <v>-</v>
          </cell>
        </row>
        <row r="666">
          <cell r="A666" t="str">
            <v>T_B_u-BEVELC-S2</v>
          </cell>
          <cell r="B666" t="str">
            <v>VAR_fout</v>
          </cell>
          <cell r="C666" t="str">
            <v>TPBSu</v>
          </cell>
          <cell r="D666">
            <v>6.6357837340836234E-4</v>
          </cell>
          <cell r="E666">
            <v>2.4576348014040939E-3</v>
          </cell>
          <cell r="F666">
            <v>7.3009697464081775E-3</v>
          </cell>
          <cell r="G666">
            <v>3.9731281503223435E-2</v>
          </cell>
        </row>
        <row r="667">
          <cell r="A667" t="str">
            <v>T_B_u-BEVELC-S2</v>
          </cell>
          <cell r="B667" t="str">
            <v>VAR_fin</v>
          </cell>
          <cell r="C667" t="str">
            <v>T-ELC-Bus_u_BatSTGout_S2</v>
          </cell>
          <cell r="D667">
            <v>2.4114276961859889E-3</v>
          </cell>
          <cell r="E667">
            <v>8.7002386186926829E-3</v>
          </cell>
          <cell r="F667">
            <v>2.4859355223832098E-2</v>
          </cell>
          <cell r="G667">
            <v>0.12427537942333484</v>
          </cell>
        </row>
        <row r="668">
          <cell r="A668" t="str">
            <v>T_B_u-BEVELC-S2</v>
          </cell>
          <cell r="B668" t="str">
            <v>VAR_ncap</v>
          </cell>
          <cell r="C668" t="str">
            <v>-</v>
          </cell>
          <cell r="E668">
            <v>3.4747571775905198E-5</v>
          </cell>
          <cell r="F668">
            <v>9.3141580760296497E-5</v>
          </cell>
          <cell r="G668">
            <v>6.5009304938274705E-4</v>
          </cell>
        </row>
        <row r="669">
          <cell r="A669" t="str">
            <v>T_B_u-BEVELC-S2</v>
          </cell>
          <cell r="B669" t="str">
            <v>VAR_cap</v>
          </cell>
          <cell r="C669" t="str">
            <v>-</v>
          </cell>
          <cell r="D669">
            <v>7.8819556775138196E-6</v>
          </cell>
          <cell r="E669">
            <v>4.5534165582579482E-5</v>
          </cell>
          <cell r="F669">
            <v>1.3836511838364395E-4</v>
          </cell>
          <cell r="G669">
            <v>7.6730650084337495E-4</v>
          </cell>
        </row>
        <row r="670">
          <cell r="A670" t="str">
            <v>TFHGV-ICEDSL</v>
          </cell>
          <cell r="B670" t="str">
            <v>VAR_fout</v>
          </cell>
          <cell r="C670" t="str">
            <v>CO2_T</v>
          </cell>
          <cell r="D670">
            <v>384.86666634953951</v>
          </cell>
          <cell r="E670">
            <v>452.00256682669442</v>
          </cell>
          <cell r="F670">
            <v>352.43778071494603</v>
          </cell>
          <cell r="G670">
            <v>33.483649855798589</v>
          </cell>
        </row>
        <row r="671">
          <cell r="A671" t="str">
            <v>TFHGV-ICEDSL</v>
          </cell>
          <cell r="B671" t="str">
            <v>VAR_fout</v>
          </cell>
          <cell r="C671" t="str">
            <v>TFHGV</v>
          </cell>
          <cell r="D671">
            <v>0.6232609288790425</v>
          </cell>
          <cell r="E671">
            <v>0.73198217535488175</v>
          </cell>
          <cell r="F671">
            <v>0.57074493009214755</v>
          </cell>
          <cell r="G671">
            <v>5.4224105478732625E-2</v>
          </cell>
        </row>
        <row r="672">
          <cell r="A672" t="str">
            <v>TFHGV-ICEDSL</v>
          </cell>
          <cell r="B672" t="str">
            <v>VAR_fin</v>
          </cell>
          <cell r="C672" t="str">
            <v>TDSL</v>
          </cell>
          <cell r="D672">
            <v>5.2505684358736708</v>
          </cell>
          <cell r="E672">
            <v>6.1664743086861487</v>
          </cell>
          <cell r="F672">
            <v>4.8081552621411419</v>
          </cell>
          <cell r="G672">
            <v>0.45680286297133099</v>
          </cell>
        </row>
        <row r="673">
          <cell r="A673" t="str">
            <v>TFHGV-ICEDSL</v>
          </cell>
          <cell r="B673" t="str">
            <v>VAR_ncap</v>
          </cell>
          <cell r="C673" t="str">
            <v>-</v>
          </cell>
          <cell r="E673">
            <v>1.8992037766939499E-5</v>
          </cell>
          <cell r="F673">
            <v>2.48839968602715E-5</v>
          </cell>
          <cell r="G673">
            <v>2.3297285450451702E-5</v>
          </cell>
        </row>
        <row r="674">
          <cell r="A674" t="str">
            <v>TFHGV-ICEDSL</v>
          </cell>
          <cell r="B674" t="str">
            <v>VAR_cap</v>
          </cell>
          <cell r="C674" t="str">
            <v>-</v>
          </cell>
          <cell r="D674">
            <v>1.1766283015685667E-2</v>
          </cell>
          <cell r="E674">
            <v>1.3777857610234657E-2</v>
          </cell>
          <cell r="F674">
            <v>1.0772496592233586E-2</v>
          </cell>
          <cell r="G674">
            <v>1.0267773097345978E-3</v>
          </cell>
        </row>
        <row r="675">
          <cell r="A675" t="str">
            <v>D-T-ELC-Bus_u_S1</v>
          </cell>
          <cell r="B675" t="str">
            <v>VAR_fout</v>
          </cell>
          <cell r="C675" t="str">
            <v>T-ELC-Bus_u_BatSTGin_S1</v>
          </cell>
          <cell r="D675">
            <v>1.1302794430825917E-4</v>
          </cell>
          <cell r="E675">
            <v>3.2749741537676257E-2</v>
          </cell>
          <cell r="F675">
            <v>4.672175843656233E-2</v>
          </cell>
          <cell r="G675">
            <v>0.24370855537457833</v>
          </cell>
        </row>
        <row r="676">
          <cell r="A676" t="str">
            <v>D-T-ELC-Bus_u_S1</v>
          </cell>
          <cell r="B676" t="str">
            <v>VAR_fin</v>
          </cell>
          <cell r="C676" t="str">
            <v>TELC</v>
          </cell>
          <cell r="D676">
            <v>1.1302794430825917E-4</v>
          </cell>
          <cell r="E676">
            <v>3.2749741537676257E-2</v>
          </cell>
          <cell r="F676">
            <v>4.672175843656233E-2</v>
          </cell>
          <cell r="G676">
            <v>0.24370855537457833</v>
          </cell>
        </row>
        <row r="677">
          <cell r="A677" t="str">
            <v>D-T-ELC-Bus_u_S1</v>
          </cell>
          <cell r="B677" t="str">
            <v>VAR_ncap</v>
          </cell>
          <cell r="C677" t="str">
            <v>-</v>
          </cell>
          <cell r="D677">
            <v>2.43206256865974E-3</v>
          </cell>
          <cell r="E677">
            <v>2.2904339264069899E-3</v>
          </cell>
          <cell r="F677">
            <v>4.1128311232894697E-3</v>
          </cell>
          <cell r="G677">
            <v>1.8487489340149401E-2</v>
          </cell>
        </row>
        <row r="678">
          <cell r="A678" t="str">
            <v>D-T-ELC-Bus_u_S1</v>
          </cell>
          <cell r="B678" t="str">
            <v>VAR_cap</v>
          </cell>
          <cell r="C678" t="str">
            <v>-</v>
          </cell>
          <cell r="D678">
            <v>2.43206256865974E-3</v>
          </cell>
          <cell r="E678">
            <v>4.7224964950667199E-3</v>
          </cell>
          <cell r="F678">
            <v>8.8353276183562E-3</v>
          </cell>
          <cell r="G678">
            <v>2.6366814656997899E-2</v>
          </cell>
        </row>
        <row r="679">
          <cell r="A679" t="str">
            <v>T-Plg-DSL-mix_S1</v>
          </cell>
          <cell r="B679" t="str">
            <v>VAR_fout</v>
          </cell>
          <cell r="C679" t="str">
            <v>CO2_T</v>
          </cell>
          <cell r="D679">
            <v>2.34960356224573E-3</v>
          </cell>
          <cell r="E679">
            <v>0.94459008152490198</v>
          </cell>
          <cell r="F679">
            <v>1.1562659635163846</v>
          </cell>
          <cell r="G679">
            <v>3.22613520307516</v>
          </cell>
        </row>
        <row r="680">
          <cell r="A680" t="str">
            <v>T-Plg-DSL-mix_S1</v>
          </cell>
          <cell r="B680" t="str">
            <v>VAR_fout</v>
          </cell>
          <cell r="C680" t="str">
            <v>T-PEVmix-ELC_DSL_S1</v>
          </cell>
          <cell r="D680">
            <v>2.3348766953231078E-5</v>
          </cell>
          <cell r="E680">
            <v>9.386695710819605E-3</v>
          </cell>
          <cell r="F680">
            <v>1.1490187090239766E-2</v>
          </cell>
          <cell r="G680">
            <v>3.2059144030331832E-2</v>
          </cell>
        </row>
        <row r="681">
          <cell r="A681" t="str">
            <v>T-Plg-DSL-mix_S1</v>
          </cell>
          <cell r="B681" t="str">
            <v>VAR_fin</v>
          </cell>
          <cell r="C681" t="str">
            <v>TDSL</v>
          </cell>
          <cell r="D681">
            <v>3.205461885737698E-5</v>
          </cell>
          <cell r="E681">
            <v>1.2886631398702613E-2</v>
          </cell>
          <cell r="F681">
            <v>1.5774433335830628E-2</v>
          </cell>
          <cell r="G681">
            <v>4.4012758568556042E-2</v>
          </cell>
        </row>
        <row r="682">
          <cell r="A682" t="str">
            <v>T_B_u-BEVELC-S3</v>
          </cell>
          <cell r="B682" t="str">
            <v>VAR_fout</v>
          </cell>
          <cell r="C682" t="str">
            <v>TPBSu</v>
          </cell>
          <cell r="D682">
            <v>2.0580398733543699E-3</v>
          </cell>
          <cell r="E682">
            <v>4.0806278617089211E-3</v>
          </cell>
          <cell r="F682">
            <v>7.6555854267575827E-3</v>
          </cell>
          <cell r="G682">
            <v>0.17344254537374912</v>
          </cell>
        </row>
        <row r="683">
          <cell r="A683" t="str">
            <v>T_B_u-BEVELC-S3</v>
          </cell>
          <cell r="B683" t="str">
            <v>VAR_fin</v>
          </cell>
          <cell r="C683" t="str">
            <v>T-ELC-Bus_u_BatSTGout_S3</v>
          </cell>
          <cell r="D683">
            <v>1.124793842669136E-2</v>
          </cell>
          <cell r="E683">
            <v>2.1967993787638643E-2</v>
          </cell>
          <cell r="F683">
            <v>3.9900623509673903E-2</v>
          </cell>
          <cell r="G683">
            <v>0.80531207199989374</v>
          </cell>
        </row>
        <row r="684">
          <cell r="A684" t="str">
            <v>T_B_u-BEVELC-S3</v>
          </cell>
          <cell r="B684" t="str">
            <v>VAR_ncap</v>
          </cell>
          <cell r="C684" t="str">
            <v>-</v>
          </cell>
          <cell r="E684">
            <v>2.6714238129570399E-5</v>
          </cell>
          <cell r="F684">
            <v>6.6774502231749198E-5</v>
          </cell>
          <cell r="G684">
            <v>3.4286798465123901E-3</v>
          </cell>
        </row>
        <row r="685">
          <cell r="A685" t="str">
            <v>T_B_u-BEVELC-S3</v>
          </cell>
          <cell r="B685" t="str">
            <v>VAR_cap</v>
          </cell>
          <cell r="C685" t="str">
            <v>-</v>
          </cell>
          <cell r="D685">
            <v>3.3993020936574012E-5</v>
          </cell>
          <cell r="E685">
            <v>7.4119215210383964E-5</v>
          </cell>
          <cell r="F685">
            <v>1.408623355786468E-4</v>
          </cell>
          <cell r="G685">
            <v>3.5281659738521818E-3</v>
          </cell>
        </row>
        <row r="686">
          <cell r="A686" t="str">
            <v>D-T-ELC-Bus_u_S2</v>
          </cell>
          <cell r="B686" t="str">
            <v>VAR_fout</v>
          </cell>
          <cell r="C686" t="str">
            <v>T-ELC-Bus_u_BatSTGin_S2</v>
          </cell>
          <cell r="D686">
            <v>2.0090604401523803E-3</v>
          </cell>
          <cell r="E686">
            <v>8.5332515764402258E-3</v>
          </cell>
          <cell r="F686">
            <v>2.4705846715601748E-2</v>
          </cell>
          <cell r="G686">
            <v>0.12877335812509269</v>
          </cell>
        </row>
        <row r="687">
          <cell r="A687" t="str">
            <v>D-T-ELC-Bus_u_S2</v>
          </cell>
          <cell r="B687" t="str">
            <v>VAR_fin</v>
          </cell>
          <cell r="C687" t="str">
            <v>TELC</v>
          </cell>
          <cell r="D687">
            <v>2.0090604401523803E-3</v>
          </cell>
          <cell r="E687">
            <v>8.5332515764402258E-3</v>
          </cell>
          <cell r="F687">
            <v>2.4705846715601748E-2</v>
          </cell>
          <cell r="G687">
            <v>0.12877335812509269</v>
          </cell>
        </row>
        <row r="688">
          <cell r="A688" t="str">
            <v>D-T-ELC-Bus_u_S2</v>
          </cell>
          <cell r="B688" t="str">
            <v>VAR_ncap</v>
          </cell>
          <cell r="C688" t="str">
            <v>-</v>
          </cell>
          <cell r="D688">
            <v>2.2649959501478E-3</v>
          </cell>
          <cell r="E688">
            <v>2.0550846241022798E-3</v>
          </cell>
          <cell r="F688">
            <v>3.4662234640335699E-3</v>
          </cell>
          <cell r="G688">
            <v>7.6883277700328396E-3</v>
          </cell>
        </row>
        <row r="689">
          <cell r="A689" t="str">
            <v>D-T-ELC-Bus_u_S2</v>
          </cell>
          <cell r="B689" t="str">
            <v>VAR_cap</v>
          </cell>
          <cell r="C689" t="str">
            <v>-</v>
          </cell>
          <cell r="D689">
            <v>2.2649959501478E-3</v>
          </cell>
          <cell r="E689">
            <v>4.3200805742500802E-3</v>
          </cell>
          <cell r="F689">
            <v>7.7863040382836401E-3</v>
          </cell>
          <cell r="G689">
            <v>1.45946367291898E-2</v>
          </cell>
        </row>
        <row r="690">
          <cell r="A690" t="str">
            <v>T-Plg-DSL-mix_S2</v>
          </cell>
          <cell r="B690" t="str">
            <v>VAR_fout</v>
          </cell>
          <cell r="C690" t="str">
            <v>CO2_T</v>
          </cell>
          <cell r="D690">
            <v>1.23236206896945E-2</v>
          </cell>
          <cell r="E690">
            <v>0.96494733154429602</v>
          </cell>
          <cell r="F690">
            <v>2.5520655455328871</v>
          </cell>
          <cell r="G690">
            <v>6.9513173000178803</v>
          </cell>
        </row>
        <row r="691">
          <cell r="A691" t="str">
            <v>T-Plg-DSL-mix_S2</v>
          </cell>
          <cell r="B691" t="str">
            <v>VAR_fout</v>
          </cell>
          <cell r="C691" t="str">
            <v>T-PEVmix-ELC_DSL_S2</v>
          </cell>
          <cell r="D691">
            <v>1.0012295496959571E-4</v>
          </cell>
          <cell r="E691">
            <v>7.8396910012844476E-3</v>
          </cell>
          <cell r="F691">
            <v>2.0734194124338919E-2</v>
          </cell>
          <cell r="G691">
            <v>5.6475807437912466E-2</v>
          </cell>
        </row>
        <row r="692">
          <cell r="A692" t="str">
            <v>T-Plg-DSL-mix_S2</v>
          </cell>
          <cell r="B692" t="str">
            <v>VAR_fin</v>
          </cell>
          <cell r="C692" t="str">
            <v>TDSL</v>
          </cell>
          <cell r="D692">
            <v>1.6812579385667848E-4</v>
          </cell>
          <cell r="E692">
            <v>1.3164356501286428E-2</v>
          </cell>
          <cell r="F692">
            <v>3.4816719584350453E-2</v>
          </cell>
          <cell r="G692">
            <v>9.4833796726028291E-2</v>
          </cell>
        </row>
        <row r="693">
          <cell r="A693" t="str">
            <v>T_B_u-BEVELC-S4</v>
          </cell>
          <cell r="B693" t="str">
            <v>VAR_fout</v>
          </cell>
          <cell r="C693" t="str">
            <v>TPBSu</v>
          </cell>
          <cell r="D693">
            <v>1.8049989694102938E-4</v>
          </cell>
          <cell r="E693">
            <v>5.4294037456633281E-4</v>
          </cell>
          <cell r="F693">
            <v>9.4230311089095193E-4</v>
          </cell>
          <cell r="G693">
            <v>3.5501880638219097E-3</v>
          </cell>
        </row>
        <row r="694">
          <cell r="A694" t="str">
            <v>T_B_u-BEVELC-S4</v>
          </cell>
          <cell r="B694" t="str">
            <v>VAR_fin</v>
          </cell>
          <cell r="C694" t="str">
            <v>T-ELC-Bus_u_BatSTGout_S4</v>
          </cell>
          <cell r="D694">
            <v>1.4796637298964924E-3</v>
          </cell>
          <cell r="E694">
            <v>4.3504827794229933E-3</v>
          </cell>
          <cell r="F694">
            <v>7.3535592315203662E-3</v>
          </cell>
          <cell r="G694">
            <v>2.4897856540991838E-2</v>
          </cell>
        </row>
        <row r="695">
          <cell r="A695" t="str">
            <v>T_B_u-BEVELC-S4</v>
          </cell>
          <cell r="B695" t="str">
            <v>VAR_ncap</v>
          </cell>
          <cell r="C695" t="str">
            <v>-</v>
          </cell>
          <cell r="E695">
            <v>6.0750574826761197E-6</v>
          </cell>
          <cell r="F695">
            <v>7.0437925116413003E-6</v>
          </cell>
          <cell r="G695">
            <v>3.6736311251392699E-4</v>
          </cell>
        </row>
        <row r="696">
          <cell r="A696" t="str">
            <v>T_B_u-BEVELC-S4</v>
          </cell>
          <cell r="B696" t="str">
            <v>VAR_cap</v>
          </cell>
          <cell r="C696" t="str">
            <v>-</v>
          </cell>
          <cell r="D696">
            <v>4.2334739803094299E-7</v>
          </cell>
          <cell r="E696">
            <v>6.6559294939278791E-6</v>
          </cell>
          <cell r="F696">
            <v>1.3492000166603743E-5</v>
          </cell>
          <cell r="G696">
            <v>3.7431844198028473E-4</v>
          </cell>
        </row>
        <row r="697">
          <cell r="A697" t="str">
            <v>D-TBDS1</v>
          </cell>
          <cell r="B697" t="str">
            <v>VAR_fout</v>
          </cell>
          <cell r="C697" t="str">
            <v>TDSL</v>
          </cell>
          <cell r="D697">
            <v>2.9709603938165858</v>
          </cell>
          <cell r="E697">
            <v>2.9721740015845719</v>
          </cell>
          <cell r="F697">
            <v>4.4006224837199213</v>
          </cell>
          <cell r="G697">
            <v>2.9658931852739499</v>
          </cell>
        </row>
        <row r="698">
          <cell r="A698" t="str">
            <v>D-TBDS1</v>
          </cell>
          <cell r="B698" t="str">
            <v>VAR_fout</v>
          </cell>
          <cell r="C698" t="str">
            <v>TKER</v>
          </cell>
          <cell r="D698">
            <v>3.18368798889021E-5</v>
          </cell>
          <cell r="E698">
            <v>1.16612611637865E-3</v>
          </cell>
          <cell r="F698">
            <v>2.0389632265815898E-2</v>
          </cell>
          <cell r="G698">
            <v>0.14069932564142101</v>
          </cell>
        </row>
        <row r="699">
          <cell r="A699" t="str">
            <v>D-TBDS1</v>
          </cell>
          <cell r="B699" t="str">
            <v>VAR_fin</v>
          </cell>
          <cell r="C699" t="str">
            <v>BDS</v>
          </cell>
          <cell r="D699">
            <v>3.0152938780579746</v>
          </cell>
          <cell r="E699">
            <v>3.0176199958159944</v>
          </cell>
          <cell r="F699">
            <v>4.4869528449122704</v>
          </cell>
          <cell r="G699">
            <v>3.1529000612231211</v>
          </cell>
        </row>
        <row r="700">
          <cell r="A700" t="str">
            <v>D-T-ELC-Bus_u_S3</v>
          </cell>
          <cell r="B700" t="str">
            <v>VAR_fout</v>
          </cell>
          <cell r="C700" t="str">
            <v>T-ELC-Bus_u_BatSTGin_S3</v>
          </cell>
          <cell r="D700">
            <v>9.8563395987840471E-3</v>
          </cell>
          <cell r="E700">
            <v>2.0928691194834072E-2</v>
          </cell>
          <cell r="F700">
            <v>3.8810652892194937E-2</v>
          </cell>
          <cell r="G700">
            <v>0.80639683908410087</v>
          </cell>
        </row>
        <row r="701">
          <cell r="A701" t="str">
            <v>D-T-ELC-Bus_u_S3</v>
          </cell>
          <cell r="B701" t="str">
            <v>VAR_fin</v>
          </cell>
          <cell r="C701" t="str">
            <v>TELC</v>
          </cell>
          <cell r="D701">
            <v>9.8563395987840471E-3</v>
          </cell>
          <cell r="E701">
            <v>2.0928691194834072E-2</v>
          </cell>
          <cell r="F701">
            <v>3.8810652892194937E-2</v>
          </cell>
          <cell r="G701">
            <v>0.80639683908410087</v>
          </cell>
        </row>
        <row r="702">
          <cell r="A702" t="str">
            <v>D-T-ELC-Bus_u_S3</v>
          </cell>
          <cell r="B702" t="str">
            <v>VAR_ncap</v>
          </cell>
          <cell r="C702" t="str">
            <v>-</v>
          </cell>
          <cell r="D702">
            <v>2.3282598497696102E-3</v>
          </cell>
          <cell r="E702">
            <v>2.0386525443443302E-3</v>
          </cell>
          <cell r="F702">
            <v>2.4540276142541099E-3</v>
          </cell>
          <cell r="G702">
            <v>8.0583601846484595E-2</v>
          </cell>
        </row>
        <row r="703">
          <cell r="A703" t="str">
            <v>D-T-ELC-Bus_u_S3</v>
          </cell>
          <cell r="B703" t="str">
            <v>VAR_cap</v>
          </cell>
          <cell r="C703" t="str">
            <v>-</v>
          </cell>
          <cell r="D703">
            <v>2.3282598497696102E-3</v>
          </cell>
          <cell r="E703">
            <v>4.3669123941139504E-3</v>
          </cell>
          <cell r="F703">
            <v>6.8209400083680599E-3</v>
          </cell>
          <cell r="G703">
            <v>8.5292794438208905E-2</v>
          </cell>
        </row>
        <row r="704">
          <cell r="A704" t="str">
            <v>T-Plg-DSL-mix_S3</v>
          </cell>
          <cell r="B704" t="str">
            <v>VAR_fout</v>
          </cell>
          <cell r="C704" t="str">
            <v>CO2_T</v>
          </cell>
          <cell r="D704">
            <v>2.9122601479595799E-2</v>
          </cell>
          <cell r="E704">
            <v>18.73742560744968</v>
          </cell>
          <cell r="F704">
            <v>90.663312028853795</v>
          </cell>
          <cell r="G704">
            <v>328.32024175676827</v>
          </cell>
        </row>
        <row r="705">
          <cell r="A705" t="str">
            <v>T-Plg-DSL-mix_S3</v>
          </cell>
          <cell r="B705" t="str">
            <v>VAR_fout</v>
          </cell>
          <cell r="C705" t="str">
            <v>T-PEVmix-ELC_DSL_S3</v>
          </cell>
          <cell r="D705">
            <v>2.1994235829156755E-4</v>
          </cell>
          <cell r="E705">
            <v>0.14151048900293786</v>
          </cell>
          <cell r="F705">
            <v>0.684715706875342</v>
          </cell>
          <cell r="G705">
            <v>2.4795699758290706</v>
          </cell>
        </row>
        <row r="706">
          <cell r="A706" t="str">
            <v>T-Plg-DSL-mix_S3</v>
          </cell>
          <cell r="B706" t="str">
            <v>VAR_fin</v>
          </cell>
          <cell r="C706" t="str">
            <v>TDSL</v>
          </cell>
          <cell r="D706">
            <v>3.9730697789353134E-4</v>
          </cell>
          <cell r="E706">
            <v>0.25562654307571175</v>
          </cell>
          <cell r="F706">
            <v>1.2368801095341613</v>
          </cell>
          <cell r="G706">
            <v>4.4791301740350402</v>
          </cell>
        </row>
        <row r="707">
          <cell r="A707" t="str">
            <v>D-T-ELC-Bus_u_S4</v>
          </cell>
          <cell r="B707" t="str">
            <v>VAR_fout</v>
          </cell>
          <cell r="C707" t="str">
            <v>T-ELC-Bus_u_BatSTGin_S4</v>
          </cell>
          <cell r="D707">
            <v>5.2863537526287715E-4</v>
          </cell>
          <cell r="E707">
            <v>2.9670544533762274E-3</v>
          </cell>
          <cell r="F707">
            <v>5.879079677663138E-3</v>
          </cell>
          <cell r="G707">
            <v>2.693115053402732E-2</v>
          </cell>
        </row>
        <row r="708">
          <cell r="A708" t="str">
            <v>D-T-ELC-Bus_u_S4</v>
          </cell>
          <cell r="B708" t="str">
            <v>VAR_fin</v>
          </cell>
          <cell r="C708" t="str">
            <v>TELC</v>
          </cell>
          <cell r="D708">
            <v>5.2863537526287715E-4</v>
          </cell>
          <cell r="E708">
            <v>2.9670544533762274E-3</v>
          </cell>
          <cell r="F708">
            <v>5.879079677663138E-3</v>
          </cell>
          <cell r="G708">
            <v>2.693115053402732E-2</v>
          </cell>
        </row>
        <row r="709">
          <cell r="A709" t="str">
            <v>D-T-ELC-Bus_u_S4</v>
          </cell>
          <cell r="B709" t="str">
            <v>VAR_ncap</v>
          </cell>
          <cell r="C709" t="str">
            <v>-</v>
          </cell>
          <cell r="D709">
            <v>1.88326408335396E-3</v>
          </cell>
          <cell r="E709">
            <v>1.52945104598128E-3</v>
          </cell>
          <cell r="F709">
            <v>1.23491590433277E-3</v>
          </cell>
          <cell r="G709">
            <v>1.6868424829425399E-3</v>
          </cell>
        </row>
        <row r="710">
          <cell r="A710" t="str">
            <v>D-T-ELC-Bus_u_S4</v>
          </cell>
          <cell r="B710" t="str">
            <v>VAR_cap</v>
          </cell>
          <cell r="C710" t="str">
            <v>-</v>
          </cell>
          <cell r="D710">
            <v>1.88326408335396E-3</v>
          </cell>
          <cell r="E710">
            <v>3.4127151293352402E-3</v>
          </cell>
          <cell r="F710">
            <v>4.6476310336680199E-3</v>
          </cell>
          <cell r="G710">
            <v>3.3440785673222099E-3</v>
          </cell>
        </row>
        <row r="711">
          <cell r="A711" t="str">
            <v>T_C-FC-H2O-S1</v>
          </cell>
          <cell r="B711" t="str">
            <v>VAR_fout</v>
          </cell>
          <cell r="C711" t="str">
            <v>TPCAR</v>
          </cell>
          <cell r="E711">
            <v>4.7874992131993337E-4</v>
          </cell>
          <cell r="F711">
            <v>5.8511662819146987E-4</v>
          </cell>
          <cell r="G711">
            <v>1.7902928933471714E-4</v>
          </cell>
        </row>
        <row r="712">
          <cell r="A712" t="str">
            <v>T_C-FC-H2O-S1</v>
          </cell>
          <cell r="B712" t="str">
            <v>VAR_fin</v>
          </cell>
          <cell r="C712" t="str">
            <v>TH2O</v>
          </cell>
          <cell r="E712">
            <v>4.3658869685289696E-4</v>
          </cell>
          <cell r="F712">
            <v>5.3358819465656277E-4</v>
          </cell>
          <cell r="G712">
            <v>1.6326303284530698E-4</v>
          </cell>
        </row>
        <row r="713">
          <cell r="A713" t="str">
            <v>T_C-FC-H2O-S1</v>
          </cell>
          <cell r="B713" t="str">
            <v>VAR_ncap</v>
          </cell>
          <cell r="C713" t="str">
            <v>-</v>
          </cell>
          <cell r="E713">
            <v>5.6101829186112801E-5</v>
          </cell>
          <cell r="F713">
            <v>2.3388944830787099E-5</v>
          </cell>
          <cell r="G713">
            <v>7.4477061366875901E-6</v>
          </cell>
        </row>
        <row r="714">
          <cell r="A714" t="str">
            <v>T_C-FC-H2O-S1</v>
          </cell>
          <cell r="B714" t="str">
            <v>VAR_cap</v>
          </cell>
          <cell r="C714" t="str">
            <v>-</v>
          </cell>
          <cell r="E714">
            <v>5.5354937067383398E-5</v>
          </cell>
          <cell r="F714">
            <v>7.5082175277578581E-5</v>
          </cell>
          <cell r="G714">
            <v>1.8038721112814107E-5</v>
          </cell>
        </row>
        <row r="715">
          <cell r="A715" t="str">
            <v>T_B_c-ICEDSL-S1</v>
          </cell>
          <cell r="B715" t="str">
            <v>VAR_fout</v>
          </cell>
          <cell r="C715" t="str">
            <v>CO2_T</v>
          </cell>
          <cell r="D715">
            <v>8.2264059703589307</v>
          </cell>
          <cell r="E715">
            <v>19.622518966648329</v>
          </cell>
          <cell r="F715">
            <v>23.215336732130648</v>
          </cell>
          <cell r="G715">
            <v>1.5296167805642929E-2</v>
          </cell>
        </row>
        <row r="716">
          <cell r="A716" t="str">
            <v>T_B_c-ICEDSL-S1</v>
          </cell>
          <cell r="B716" t="str">
            <v>VAR_fout</v>
          </cell>
          <cell r="C716" t="str">
            <v>TPBSc</v>
          </cell>
          <cell r="D716">
            <v>1.3907358516351066E-2</v>
          </cell>
          <cell r="E716">
            <v>3.3859483548146663E-2</v>
          </cell>
          <cell r="F716">
            <v>4.0486904777089168E-2</v>
          </cell>
          <cell r="G716">
            <v>2.708682990950149E-5</v>
          </cell>
        </row>
        <row r="717">
          <cell r="A717" t="str">
            <v>T_B_c-ICEDSL-S1</v>
          </cell>
          <cell r="B717" t="str">
            <v>VAR_fin</v>
          </cell>
          <cell r="C717" t="str">
            <v>TDSL</v>
          </cell>
          <cell r="D717">
            <v>0.11222927653968538</v>
          </cell>
          <cell r="E717">
            <v>0.26770148658456028</v>
          </cell>
          <cell r="F717">
            <v>0.31671673577258802</v>
          </cell>
          <cell r="G717">
            <v>2.0867896051354583E-4</v>
          </cell>
        </row>
        <row r="718">
          <cell r="A718" t="str">
            <v>T_B_c-ICEDSL-S1</v>
          </cell>
          <cell r="B718" t="str">
            <v>VAR_ncap</v>
          </cell>
          <cell r="C718" t="str">
            <v>-</v>
          </cell>
          <cell r="E718">
            <v>3.9533223932779101E-4</v>
          </cell>
          <cell r="F718">
            <v>1.44382935648742E-4</v>
          </cell>
          <cell r="G718">
            <v>6.4406099335119298E-8</v>
          </cell>
        </row>
        <row r="719">
          <cell r="A719" t="str">
            <v>T_B_c-ICEDSL-S1</v>
          </cell>
          <cell r="B719" t="str">
            <v>VAR_cap</v>
          </cell>
          <cell r="C719" t="str">
            <v>-</v>
          </cell>
          <cell r="D719">
            <v>3.0575236246334955E-4</v>
          </cell>
          <cell r="E719">
            <v>7.526467202471159E-4</v>
          </cell>
          <cell r="F719">
            <v>8.9697881635465129E-4</v>
          </cell>
          <cell r="G719">
            <v>-9.997121024507994E-8</v>
          </cell>
        </row>
        <row r="720">
          <cell r="A720" t="str">
            <v>T-Plg-DSL-mix_S4</v>
          </cell>
          <cell r="B720" t="str">
            <v>VAR_fout</v>
          </cell>
          <cell r="C720" t="str">
            <v>CO2_T</v>
          </cell>
          <cell r="D720">
            <v>0.438876093241377</v>
          </cell>
          <cell r="E720">
            <v>6.1933312912671301</v>
          </cell>
          <cell r="F720">
            <v>10.04828492645834</v>
          </cell>
          <cell r="G720">
            <v>13.803036567078692</v>
          </cell>
        </row>
        <row r="721">
          <cell r="A721" t="str">
            <v>T-Plg-DSL-mix_S4</v>
          </cell>
          <cell r="B721" t="str">
            <v>VAR_fout</v>
          </cell>
          <cell r="C721" t="str">
            <v>T-PEVmix-ELC_DSL_S4</v>
          </cell>
          <cell r="D721">
            <v>3.1553483077386988E-3</v>
          </cell>
          <cell r="E721">
            <v>4.4527641651277927E-2</v>
          </cell>
          <cell r="F721">
            <v>7.2243258009815417E-2</v>
          </cell>
          <cell r="G721">
            <v>9.9238461024199046E-2</v>
          </cell>
        </row>
        <row r="722">
          <cell r="A722" t="str">
            <v>T-Plg-DSL-mix_S4</v>
          </cell>
          <cell r="B722" t="str">
            <v>VAR_fin</v>
          </cell>
          <cell r="C722" t="str">
            <v>TDSL</v>
          </cell>
          <cell r="D722">
            <v>5.9873955421743119E-3</v>
          </cell>
          <cell r="E722">
            <v>8.4492923482498344E-2</v>
          </cell>
          <cell r="F722">
            <v>0.13708437826000472</v>
          </cell>
          <cell r="G722">
            <v>0.18830882083327005</v>
          </cell>
        </row>
        <row r="723">
          <cell r="A723" t="str">
            <v>T_C-FC-H2O-S2</v>
          </cell>
          <cell r="B723" t="str">
            <v>VAR_fout</v>
          </cell>
          <cell r="C723" t="str">
            <v>TPCAR</v>
          </cell>
          <cell r="D723">
            <v>1.5323322114038195E-4</v>
          </cell>
          <cell r="E723">
            <v>5.0195009871120363E-4</v>
          </cell>
          <cell r="F723">
            <v>7.341830719322424E-4</v>
          </cell>
          <cell r="G723">
            <v>4.2120492448251555E-4</v>
          </cell>
        </row>
        <row r="724">
          <cell r="A724" t="str">
            <v>T_C-FC-H2O-S2</v>
          </cell>
          <cell r="B724" t="str">
            <v>VAR_fin</v>
          </cell>
          <cell r="C724" t="str">
            <v>TH2O</v>
          </cell>
          <cell r="D724">
            <v>1.7188339485569516E-4</v>
          </cell>
          <cell r="E724">
            <v>5.6304296400316596E-4</v>
          </cell>
          <cell r="F724">
            <v>8.2354125241344714E-4</v>
          </cell>
          <cell r="G724">
            <v>4.7247021116697188E-4</v>
          </cell>
        </row>
        <row r="725">
          <cell r="A725" t="str">
            <v>T_C-FC-H2O-S2</v>
          </cell>
          <cell r="B725" t="str">
            <v>VAR_ncap</v>
          </cell>
          <cell r="C725" t="str">
            <v>-</v>
          </cell>
          <cell r="E725">
            <v>2.8655381498174701E-5</v>
          </cell>
          <cell r="F725">
            <v>1.9556933205026201E-5</v>
          </cell>
          <cell r="G725">
            <v>7.3188824753863398E-6</v>
          </cell>
        </row>
        <row r="726">
          <cell r="A726" t="str">
            <v>T_C-FC-H2O-S2</v>
          </cell>
          <cell r="B726" t="str">
            <v>VAR_cap</v>
          </cell>
          <cell r="C726" t="str">
            <v>-</v>
          </cell>
          <cell r="D726">
            <v>6.2831666479506751E-6</v>
          </cell>
          <cell r="E726">
            <v>3.4537847083725739E-5</v>
          </cell>
          <cell r="F726">
            <v>5.2110501948287521E-5</v>
          </cell>
          <cell r="G726">
            <v>2.5550803446840391E-5</v>
          </cell>
        </row>
        <row r="727">
          <cell r="A727" t="str">
            <v>T_B_c-ICEDSL-S2</v>
          </cell>
          <cell r="B727" t="str">
            <v>VAR_fout</v>
          </cell>
          <cell r="C727" t="str">
            <v>CO2_T</v>
          </cell>
          <cell r="D727">
            <v>37.840426845118699</v>
          </cell>
          <cell r="E727">
            <v>27.87765377022966</v>
          </cell>
          <cell r="F727">
            <v>33.840131454701805</v>
          </cell>
          <cell r="G727">
            <v>2.7896746463353491E-2</v>
          </cell>
        </row>
        <row r="728">
          <cell r="A728" t="str">
            <v>T_B_c-ICEDSL-S2</v>
          </cell>
          <cell r="B728" t="str">
            <v>VAR_fout</v>
          </cell>
          <cell r="C728" t="str">
            <v>TPBSc</v>
          </cell>
          <cell r="D728">
            <v>4.5153410736832544E-2</v>
          </cell>
          <cell r="E728">
            <v>3.3402826164720158E-2</v>
          </cell>
          <cell r="F728">
            <v>4.0584133634577628E-2</v>
          </cell>
          <cell r="G728">
            <v>3.4684151560703402E-5</v>
          </cell>
        </row>
        <row r="729">
          <cell r="A729" t="str">
            <v>T_B_c-ICEDSL-S2</v>
          </cell>
          <cell r="B729" t="str">
            <v>VAR_fin</v>
          </cell>
          <cell r="C729" t="str">
            <v>TDSL</v>
          </cell>
          <cell r="D729">
            <v>0.51624047537678963</v>
          </cell>
          <cell r="E729">
            <v>0.38032269809317387</v>
          </cell>
          <cell r="F729">
            <v>0.46166618628515405</v>
          </cell>
          <cell r="G729">
            <v>3.805831713963647E-4</v>
          </cell>
        </row>
        <row r="730">
          <cell r="A730" t="str">
            <v>T_B_c-ICEDSL-S2</v>
          </cell>
          <cell r="B730" t="str">
            <v>VAR_ncap</v>
          </cell>
          <cell r="C730" t="str">
            <v>-</v>
          </cell>
          <cell r="E730">
            <v>1.04201273077868E-5</v>
          </cell>
          <cell r="F730">
            <v>1.44094001881224E-5</v>
          </cell>
          <cell r="G730">
            <v>1.08885702030024E-8</v>
          </cell>
        </row>
        <row r="731">
          <cell r="A731" t="str">
            <v>T_B_c-ICEDSL-S2</v>
          </cell>
          <cell r="B731" t="str">
            <v>VAR_cap</v>
          </cell>
          <cell r="C731" t="str">
            <v>-</v>
          </cell>
          <cell r="D731">
            <v>9.8770368833323778E-4</v>
          </cell>
          <cell r="E731">
            <v>8.6994840739833279E-4</v>
          </cell>
          <cell r="F731">
            <v>8.8613264007148819E-4</v>
          </cell>
          <cell r="G731">
            <v>-1.9528405843512002E-7</v>
          </cell>
        </row>
        <row r="732">
          <cell r="A732" t="str">
            <v>T_TW-FCLH2O-S1</v>
          </cell>
          <cell r="B732" t="str">
            <v>VAR_fout</v>
          </cell>
          <cell r="C732" t="str">
            <v>TPTWL</v>
          </cell>
          <cell r="G732">
            <v>3.767847335601301E-3</v>
          </cell>
        </row>
        <row r="733">
          <cell r="A733" t="str">
            <v>T_TW-FCLH2O-S1</v>
          </cell>
          <cell r="B733" t="str">
            <v>VAR_fin</v>
          </cell>
          <cell r="C733" t="str">
            <v>TH2O</v>
          </cell>
          <cell r="G733">
            <v>8.1219045891896594E-4</v>
          </cell>
        </row>
        <row r="734">
          <cell r="A734" t="str">
            <v>T_TW-FCLH2O-S1</v>
          </cell>
          <cell r="B734" t="str">
            <v>VAR_ncap</v>
          </cell>
          <cell r="C734" t="str">
            <v>-</v>
          </cell>
          <cell r="G734">
            <v>1.3667050082794301E-3</v>
          </cell>
        </row>
        <row r="735">
          <cell r="A735" t="str">
            <v>T_TW-FCLH2O-S1</v>
          </cell>
          <cell r="B735" t="str">
            <v>VAR_cap</v>
          </cell>
          <cell r="C735" t="str">
            <v>-</v>
          </cell>
          <cell r="G735">
            <v>1.3667050082794301E-3</v>
          </cell>
        </row>
        <row r="736">
          <cell r="A736" t="str">
            <v>D-T-ELC-TW_Bat_S1</v>
          </cell>
          <cell r="B736" t="str">
            <v>VAR_fout</v>
          </cell>
          <cell r="C736" t="str">
            <v>T-ELC-TWSTGin_S1</v>
          </cell>
          <cell r="D736">
            <v>4.8737206159170703E-2</v>
          </cell>
          <cell r="E736">
            <v>4.9462135277068615E-2</v>
          </cell>
          <cell r="F736">
            <v>5.1213683082883231E-2</v>
          </cell>
          <cell r="G736">
            <v>6.5816891087161378E-2</v>
          </cell>
        </row>
        <row r="737">
          <cell r="A737" t="str">
            <v>D-T-ELC-TW_Bat_S1</v>
          </cell>
          <cell r="B737" t="str">
            <v>VAR_fin</v>
          </cell>
          <cell r="C737" t="str">
            <v>TELC</v>
          </cell>
          <cell r="D737">
            <v>4.8737206159170703E-2</v>
          </cell>
          <cell r="E737">
            <v>4.9462135277068615E-2</v>
          </cell>
          <cell r="F737">
            <v>5.1213683082883231E-2</v>
          </cell>
          <cell r="G737">
            <v>6.5816891087161378E-2</v>
          </cell>
        </row>
        <row r="738">
          <cell r="A738" t="str">
            <v>D-T-ELC-TW_Bat_S1</v>
          </cell>
          <cell r="B738" t="str">
            <v>VAR_ncap</v>
          </cell>
          <cell r="C738" t="str">
            <v>-</v>
          </cell>
          <cell r="D738">
            <v>5.6262829297921103E-3</v>
          </cell>
          <cell r="E738">
            <v>1.94038893530154E-5</v>
          </cell>
          <cell r="F738">
            <v>2.0514484885122001E-4</v>
          </cell>
          <cell r="G738">
            <v>2.6407545704990199E-3</v>
          </cell>
        </row>
        <row r="739">
          <cell r="A739" t="str">
            <v>D-T-ELC-TW_Bat_S1</v>
          </cell>
          <cell r="B739" t="str">
            <v>VAR_cap</v>
          </cell>
          <cell r="C739" t="str">
            <v>-</v>
          </cell>
          <cell r="D739">
            <v>5.6262829297921103E-3</v>
          </cell>
          <cell r="E739">
            <v>5.6456868191451202E-3</v>
          </cell>
          <cell r="F739">
            <v>5.8508316679963396E-3</v>
          </cell>
          <cell r="G739">
            <v>6.9794653497314502E-3</v>
          </cell>
        </row>
        <row r="740">
          <cell r="A740" t="str">
            <v>T_C-FC-H2O-S3</v>
          </cell>
          <cell r="B740" t="str">
            <v>VAR_fout</v>
          </cell>
          <cell r="C740" t="str">
            <v>TPCAR</v>
          </cell>
          <cell r="D740">
            <v>9.0139889696241437E-4</v>
          </cell>
          <cell r="E740">
            <v>1.9321950628940702E-3</v>
          </cell>
          <cell r="F740">
            <v>2.0213085723141669E-3</v>
          </cell>
          <cell r="G740">
            <v>7.4024593401342774E-4</v>
          </cell>
        </row>
        <row r="741">
          <cell r="A741" t="str">
            <v>T_C-FC-H2O-S3</v>
          </cell>
          <cell r="B741" t="str">
            <v>VAR_fin</v>
          </cell>
          <cell r="C741" t="str">
            <v>TH2O</v>
          </cell>
          <cell r="D741">
            <v>1.0860161302109692E-3</v>
          </cell>
          <cell r="E741">
            <v>2.3279316316985187E-3</v>
          </cell>
          <cell r="F741">
            <v>2.4352966495347528E-3</v>
          </cell>
          <cell r="G741">
            <v>8.9185712049433372E-4</v>
          </cell>
        </row>
        <row r="742">
          <cell r="A742" t="str">
            <v>T_C-FC-H2O-S3</v>
          </cell>
          <cell r="B742" t="str">
            <v>VAR_ncap</v>
          </cell>
          <cell r="C742" t="str">
            <v>-</v>
          </cell>
          <cell r="E742">
            <v>2.2842811309806201E-5</v>
          </cell>
          <cell r="F742">
            <v>1.4591577816206499E-5</v>
          </cell>
          <cell r="G742">
            <v>5.9779438642896097E-6</v>
          </cell>
        </row>
        <row r="743">
          <cell r="A743" t="str">
            <v>T_C-FC-H2O-S3</v>
          </cell>
          <cell r="B743" t="str">
            <v>VAR_cap</v>
          </cell>
          <cell r="C743" t="str">
            <v>-</v>
          </cell>
          <cell r="D743">
            <v>5.3593683227500278E-5</v>
          </cell>
          <cell r="E743">
            <v>1.3037117849924328E-4</v>
          </cell>
          <cell r="F743">
            <v>1.3824734746197454E-4</v>
          </cell>
          <cell r="G743">
            <v>3.732306702197E-5</v>
          </cell>
        </row>
        <row r="744">
          <cell r="A744" t="str">
            <v>T_B_c-ICEDSL-S3</v>
          </cell>
          <cell r="B744" t="str">
            <v>VAR_fout</v>
          </cell>
          <cell r="C744" t="str">
            <v>CO2_T</v>
          </cell>
          <cell r="D744">
            <v>10.82877213496381</v>
          </cell>
          <cell r="E744">
            <v>8.6158344628404659</v>
          </cell>
          <cell r="F744">
            <v>10.260819385504613</v>
          </cell>
          <cell r="G744">
            <v>1.184703320279433E-2</v>
          </cell>
        </row>
        <row r="745">
          <cell r="A745" t="str">
            <v>T_B_c-ICEDSL-S3</v>
          </cell>
          <cell r="B745" t="str">
            <v>VAR_fout</v>
          </cell>
          <cell r="C745" t="str">
            <v>TPBSc</v>
          </cell>
          <cell r="D745">
            <v>8.5610127407236367E-3</v>
          </cell>
          <cell r="E745">
            <v>6.8416723657528803E-3</v>
          </cell>
          <cell r="F745">
            <v>8.1600046481137504E-3</v>
          </cell>
          <cell r="G745">
            <v>9.8795000682937094E-6</v>
          </cell>
        </row>
        <row r="746">
          <cell r="A746" t="str">
            <v>T_B_c-ICEDSL-S3</v>
          </cell>
          <cell r="B746" t="str">
            <v>VAR_fin</v>
          </cell>
          <cell r="C746" t="str">
            <v>TDSL</v>
          </cell>
          <cell r="D746">
            <v>0.1477322255793154</v>
          </cell>
          <cell r="E746">
            <v>0.11754207998418099</v>
          </cell>
          <cell r="F746">
            <v>0.13998389339023989</v>
          </cell>
          <cell r="G746">
            <v>1.6162391818273295E-4</v>
          </cell>
        </row>
        <row r="747">
          <cell r="A747" t="str">
            <v>T_B_c-ICEDSL-S3</v>
          </cell>
          <cell r="B747" t="str">
            <v>VAR_ncap</v>
          </cell>
          <cell r="C747" t="str">
            <v>-</v>
          </cell>
          <cell r="E747">
            <v>3.77875512956435E-6</v>
          </cell>
          <cell r="F747">
            <v>3.9811475000673703E-6</v>
          </cell>
          <cell r="G747">
            <v>3.3077960475755597E-8</v>
          </cell>
        </row>
        <row r="748">
          <cell r="A748" t="str">
            <v>T_B_c-ICEDSL-S3</v>
          </cell>
          <cell r="B748" t="str">
            <v>VAR_cap</v>
          </cell>
          <cell r="C748" t="str">
            <v>-</v>
          </cell>
          <cell r="D748">
            <v>1.9278160029703479E-4</v>
          </cell>
          <cell r="E748">
            <v>1.7371711389741035E-4</v>
          </cell>
          <cell r="F748">
            <v>1.7974817032420729E-4</v>
          </cell>
          <cell r="G748">
            <v>3.3844573450798779E-8</v>
          </cell>
        </row>
        <row r="749">
          <cell r="A749" t="str">
            <v>T_TW-FCLH2O-S2</v>
          </cell>
          <cell r="B749" t="str">
            <v>VAR_fout</v>
          </cell>
          <cell r="C749" t="str">
            <v>TPTWL</v>
          </cell>
          <cell r="G749">
            <v>1.6962546551154071E-3</v>
          </cell>
        </row>
        <row r="750">
          <cell r="A750" t="str">
            <v>T_TW-FCLH2O-S2</v>
          </cell>
          <cell r="B750" t="str">
            <v>VAR_fin</v>
          </cell>
          <cell r="C750" t="str">
            <v>TH2O</v>
          </cell>
          <cell r="G750">
            <v>6.2803617800122693E-4</v>
          </cell>
        </row>
        <row r="751">
          <cell r="A751" t="str">
            <v>T_TW-FCLH2O-S2</v>
          </cell>
          <cell r="B751" t="str">
            <v>VAR_ncap</v>
          </cell>
          <cell r="C751" t="str">
            <v>-</v>
          </cell>
          <cell r="G751">
            <v>6.2575852283984902E-4</v>
          </cell>
        </row>
        <row r="752">
          <cell r="A752" t="str">
            <v>T_TW-FCLH2O-S2</v>
          </cell>
          <cell r="B752" t="str">
            <v>VAR_cap</v>
          </cell>
          <cell r="C752" t="str">
            <v>-</v>
          </cell>
          <cell r="G752">
            <v>6.2575852283984902E-4</v>
          </cell>
        </row>
        <row r="753">
          <cell r="A753" t="str">
            <v>D-T-ELC-TW_Bat_S2</v>
          </cell>
          <cell r="B753" t="str">
            <v>VAR_fout</v>
          </cell>
          <cell r="C753" t="str">
            <v>T-ELC-TWSTGin_S2</v>
          </cell>
          <cell r="D753">
            <v>2.1672685991085787E-3</v>
          </cell>
          <cell r="E753">
            <v>2.6278812416445684E-3</v>
          </cell>
          <cell r="F753">
            <v>3.6222755915213071E-3</v>
          </cell>
          <cell r="G753">
            <v>4.2959306971245823E-2</v>
          </cell>
        </row>
        <row r="754">
          <cell r="A754" t="str">
            <v>D-T-ELC-TW_Bat_S2</v>
          </cell>
          <cell r="B754" t="str">
            <v>VAR_fin</v>
          </cell>
          <cell r="C754" t="str">
            <v>TELC</v>
          </cell>
          <cell r="D754">
            <v>2.1672685991085787E-3</v>
          </cell>
          <cell r="E754">
            <v>2.6278812416445684E-3</v>
          </cell>
          <cell r="F754">
            <v>3.6222755915213071E-3</v>
          </cell>
          <cell r="G754">
            <v>4.2959306971245823E-2</v>
          </cell>
        </row>
        <row r="755">
          <cell r="A755" t="str">
            <v>D-T-ELC-TW_Bat_S2</v>
          </cell>
          <cell r="B755" t="str">
            <v>VAR_ncap</v>
          </cell>
          <cell r="C755" t="str">
            <v>-</v>
          </cell>
          <cell r="D755">
            <v>2.2627890506179498E-3</v>
          </cell>
          <cell r="E755">
            <v>1.5168940056789E-5</v>
          </cell>
          <cell r="F755">
            <v>9.3278767379742606E-5</v>
          </cell>
          <cell r="G755">
            <v>2.1983423395301E-3</v>
          </cell>
        </row>
        <row r="756">
          <cell r="A756" t="str">
            <v>D-T-ELC-TW_Bat_S2</v>
          </cell>
          <cell r="B756" t="str">
            <v>VAR_cap</v>
          </cell>
          <cell r="C756" t="str">
            <v>-</v>
          </cell>
          <cell r="D756">
            <v>2.2627890506179498E-3</v>
          </cell>
          <cell r="E756">
            <v>2.2779579906747399E-3</v>
          </cell>
          <cell r="F756">
            <v>2.37123675805448E-3</v>
          </cell>
          <cell r="G756">
            <v>4.56957909758458E-3</v>
          </cell>
        </row>
        <row r="757">
          <cell r="A757" t="str">
            <v>T_C-FC-H2O-S4</v>
          </cell>
          <cell r="B757" t="str">
            <v>VAR_fout</v>
          </cell>
          <cell r="C757" t="str">
            <v>TPCAR</v>
          </cell>
          <cell r="E757">
            <v>3.9973308685203928E-4</v>
          </cell>
          <cell r="F757">
            <v>6.1830108148288449E-4</v>
          </cell>
          <cell r="G757">
            <v>3.1778892702910653E-4</v>
          </cell>
        </row>
        <row r="758">
          <cell r="A758" t="str">
            <v>T_C-FC-H2O-S4</v>
          </cell>
          <cell r="B758" t="str">
            <v>VAR_fin</v>
          </cell>
          <cell r="C758" t="str">
            <v>TH2O</v>
          </cell>
          <cell r="E758">
            <v>4.7771943737256084E-4</v>
          </cell>
          <cell r="F758">
            <v>7.3892918672049208E-4</v>
          </cell>
          <cell r="G758">
            <v>3.7978829478223371E-4</v>
          </cell>
        </row>
        <row r="759">
          <cell r="A759" t="str">
            <v>T_C-FC-H2O-S4</v>
          </cell>
          <cell r="B759" t="str">
            <v>VAR_ncap</v>
          </cell>
          <cell r="C759" t="str">
            <v>-</v>
          </cell>
          <cell r="E759">
            <v>3.2628693302436003E-5</v>
          </cell>
          <cell r="F759">
            <v>1.92985430881426E-5</v>
          </cell>
          <cell r="G759">
            <v>7.2573855161160399E-6</v>
          </cell>
        </row>
        <row r="760">
          <cell r="A760" t="str">
            <v>T_C-FC-H2O-S4</v>
          </cell>
          <cell r="B760" t="str">
            <v>VAR_cap</v>
          </cell>
          <cell r="C760" t="str">
            <v>-</v>
          </cell>
          <cell r="E760">
            <v>3.2194302584244299E-5</v>
          </cell>
          <cell r="F760">
            <v>4.9281645416991686E-5</v>
          </cell>
          <cell r="G760">
            <v>2.1959387575278099E-5</v>
          </cell>
        </row>
        <row r="761">
          <cell r="A761" t="str">
            <v>T_B_c-ICEDSL-S4</v>
          </cell>
          <cell r="B761" t="str">
            <v>VAR_fout</v>
          </cell>
          <cell r="C761" t="str">
            <v>CO2_T</v>
          </cell>
          <cell r="D761">
            <v>2.6204502934938647</v>
          </cell>
          <cell r="E761">
            <v>0.34860402859745165</v>
          </cell>
          <cell r="F761">
            <v>0.49593055514163686</v>
          </cell>
          <cell r="G761">
            <v>4.774615229047291E-2</v>
          </cell>
        </row>
        <row r="762">
          <cell r="A762" t="str">
            <v>T_B_c-ICEDSL-S4</v>
          </cell>
          <cell r="B762" t="str">
            <v>VAR_fout</v>
          </cell>
          <cell r="C762" t="str">
            <v>TPBSc</v>
          </cell>
          <cell r="D762">
            <v>1.3815986834318176E-3</v>
          </cell>
          <cell r="E762">
            <v>1.8546059480531357E-4</v>
          </cell>
          <cell r="F762">
            <v>2.6601025153316318E-4</v>
          </cell>
          <cell r="G762">
            <v>2.6430536863632956E-5</v>
          </cell>
        </row>
        <row r="763">
          <cell r="A763" t="str">
            <v>T_B_c-ICEDSL-S4</v>
          </cell>
          <cell r="B763" t="str">
            <v>VAR_fin</v>
          </cell>
          <cell r="C763" t="str">
            <v>TDSL</v>
          </cell>
          <cell r="D763">
            <v>3.5749662939889071E-2</v>
          </cell>
          <cell r="E763">
            <v>4.7558530504427307E-3</v>
          </cell>
          <cell r="F763">
            <v>6.765764735902278E-3</v>
          </cell>
          <cell r="G763">
            <v>6.5137997667766507E-4</v>
          </cell>
        </row>
        <row r="764">
          <cell r="A764" t="str">
            <v>T_B_c-ICEDSL-S4</v>
          </cell>
          <cell r="B764" t="str">
            <v>VAR_ncap</v>
          </cell>
          <cell r="C764" t="str">
            <v>-</v>
          </cell>
          <cell r="E764">
            <v>4.7307731082073298E-7</v>
          </cell>
          <cell r="F764">
            <v>6.7610274839163001E-7</v>
          </cell>
          <cell r="G764">
            <v>5.37070138052862E-8</v>
          </cell>
        </row>
        <row r="765">
          <cell r="A765" t="str">
            <v>T_B_c-ICEDSL-S4</v>
          </cell>
          <cell r="B765" t="str">
            <v>VAR_cap</v>
          </cell>
          <cell r="C765" t="str">
            <v>-</v>
          </cell>
          <cell r="D765">
            <v>3.0218829538064062E-5</v>
          </cell>
          <cell r="E765">
            <v>3.5715884385527301E-6</v>
          </cell>
          <cell r="F765">
            <v>4.9442513745004578E-6</v>
          </cell>
          <cell r="G765">
            <v>-1.9310750205456862E-7</v>
          </cell>
        </row>
        <row r="766">
          <cell r="A766" t="str">
            <v>D-T-ELC-HGV</v>
          </cell>
          <cell r="B766" t="str">
            <v>VAR_fout</v>
          </cell>
          <cell r="C766" t="str">
            <v>T-ELC-HGV_BatSTGin</v>
          </cell>
          <cell r="D766">
            <v>9.6188794424934398E-3</v>
          </cell>
          <cell r="E766">
            <v>3.9611946430072473E-2</v>
          </cell>
          <cell r="F766">
            <v>5.7910155469864069E-2</v>
          </cell>
          <cell r="G766">
            <v>2.5961150897813368</v>
          </cell>
        </row>
        <row r="767">
          <cell r="A767" t="str">
            <v>D-T-ELC-HGV</v>
          </cell>
          <cell r="B767" t="str">
            <v>VAR_fin</v>
          </cell>
          <cell r="C767" t="str">
            <v>TELC</v>
          </cell>
          <cell r="D767">
            <v>9.6188794424934398E-3</v>
          </cell>
          <cell r="E767">
            <v>3.9611946430072473E-2</v>
          </cell>
          <cell r="F767">
            <v>5.7910155469864069E-2</v>
          </cell>
          <cell r="G767">
            <v>2.5961150897813368</v>
          </cell>
        </row>
        <row r="768">
          <cell r="A768" t="str">
            <v>D-T-ELC-HGV</v>
          </cell>
          <cell r="B768" t="str">
            <v>VAR_ncap</v>
          </cell>
          <cell r="C768" t="str">
            <v>-</v>
          </cell>
          <cell r="D768">
            <v>3.6861169752943298E-3</v>
          </cell>
          <cell r="E768">
            <v>3.6099989218421201E-3</v>
          </cell>
          <cell r="F768">
            <v>3.7210652872319101E-3</v>
          </cell>
          <cell r="G768">
            <v>0.32310051004875501</v>
          </cell>
        </row>
        <row r="769">
          <cell r="A769" t="str">
            <v>D-T-ELC-HGV</v>
          </cell>
          <cell r="B769" t="str">
            <v>VAR_cap</v>
          </cell>
          <cell r="C769" t="str">
            <v>-</v>
          </cell>
          <cell r="D769">
            <v>3.6861169752943298E-3</v>
          </cell>
          <cell r="E769">
            <v>7.2961158971364499E-3</v>
          </cell>
          <cell r="F769">
            <v>1.10171811843684E-2</v>
          </cell>
          <cell r="G769">
            <v>0.32748544141389502</v>
          </cell>
        </row>
        <row r="770">
          <cell r="A770" t="str">
            <v>T_TW-FCLH2O-S3</v>
          </cell>
          <cell r="B770" t="str">
            <v>VAR_fout</v>
          </cell>
          <cell r="C770" t="str">
            <v>TPTWL</v>
          </cell>
          <cell r="G770">
            <v>9.6109047913661802E-4</v>
          </cell>
        </row>
        <row r="771">
          <cell r="A771" t="str">
            <v>T_TW-FCLH2O-S3</v>
          </cell>
          <cell r="B771" t="str">
            <v>VAR_fin</v>
          </cell>
          <cell r="C771" t="str">
            <v>TH2O</v>
          </cell>
          <cell r="G771">
            <v>5.4587298937679737E-4</v>
          </cell>
        </row>
        <row r="772">
          <cell r="A772" t="str">
            <v>T_TW-FCLH2O-S3</v>
          </cell>
          <cell r="B772" t="str">
            <v>VAR_ncap</v>
          </cell>
          <cell r="C772" t="str">
            <v>-</v>
          </cell>
          <cell r="G772">
            <v>3.5118383531799698E-4</v>
          </cell>
        </row>
        <row r="773">
          <cell r="A773" t="str">
            <v>T_TW-FCLH2O-S3</v>
          </cell>
          <cell r="B773" t="str">
            <v>VAR_cap</v>
          </cell>
          <cell r="C773" t="str">
            <v>-</v>
          </cell>
          <cell r="G773">
            <v>3.5118383531799698E-4</v>
          </cell>
        </row>
        <row r="774">
          <cell r="A774" t="str">
            <v>D-T-ELC-TW_Bat_S3</v>
          </cell>
          <cell r="B774" t="str">
            <v>VAR_fout</v>
          </cell>
          <cell r="C774" t="str">
            <v>T-ELC-TWSTGin_S3</v>
          </cell>
          <cell r="D774">
            <v>1.2583784534899124E-3</v>
          </cell>
          <cell r="E774">
            <v>1.7503161666585787E-3</v>
          </cell>
          <cell r="F774">
            <v>2.422719046376635E-3</v>
          </cell>
          <cell r="G774">
            <v>4.7199790215623177E-2</v>
          </cell>
        </row>
        <row r="775">
          <cell r="A775" t="str">
            <v>D-T-ELC-TW_Bat_S3</v>
          </cell>
          <cell r="B775" t="str">
            <v>VAR_fin</v>
          </cell>
          <cell r="C775" t="str">
            <v>TELC</v>
          </cell>
          <cell r="D775">
            <v>1.2583784534899124E-3</v>
          </cell>
          <cell r="E775">
            <v>1.7503161666585787E-3</v>
          </cell>
          <cell r="F775">
            <v>2.422719046376635E-3</v>
          </cell>
          <cell r="G775">
            <v>4.7199790215623177E-2</v>
          </cell>
        </row>
        <row r="776">
          <cell r="A776" t="str">
            <v>D-T-ELC-TW_Bat_S3</v>
          </cell>
          <cell r="B776" t="str">
            <v>VAR_ncap</v>
          </cell>
          <cell r="C776" t="str">
            <v>-</v>
          </cell>
          <cell r="D776">
            <v>2.5890262116082998E-3</v>
          </cell>
          <cell r="E776">
            <v>1.74581813650908E-5</v>
          </cell>
          <cell r="F776">
            <v>7.5791478301063395E-5</v>
          </cell>
          <cell r="G776">
            <v>2.33923958451709E-3</v>
          </cell>
        </row>
        <row r="777">
          <cell r="A777" t="str">
            <v>D-T-ELC-TW_Bat_S3</v>
          </cell>
          <cell r="B777" t="str">
            <v>VAR_cap</v>
          </cell>
          <cell r="C777" t="str">
            <v>-</v>
          </cell>
          <cell r="D777">
            <v>2.5890262116082998E-3</v>
          </cell>
          <cell r="E777">
            <v>2.60648439297339E-3</v>
          </cell>
          <cell r="F777">
            <v>2.6822758712744502E-3</v>
          </cell>
          <cell r="G777">
            <v>5.0215154557915502E-3</v>
          </cell>
        </row>
        <row r="778">
          <cell r="A778" t="str">
            <v>T_TW-FCLH2O-S4</v>
          </cell>
          <cell r="B778" t="str">
            <v>VAR_fout</v>
          </cell>
          <cell r="C778" t="str">
            <v>TPTWL</v>
          </cell>
          <cell r="G778">
            <v>5.0040232972396877E-4</v>
          </cell>
        </row>
        <row r="779">
          <cell r="A779" t="str">
            <v>T_TW-FCLH2O-S4</v>
          </cell>
          <cell r="B779" t="str">
            <v>VAR_fin</v>
          </cell>
          <cell r="C779" t="str">
            <v>TH2O</v>
          </cell>
          <cell r="G779">
            <v>3.2035156088496865E-4</v>
          </cell>
        </row>
        <row r="780">
          <cell r="A780" t="str">
            <v>T_TW-FCLH2O-S4</v>
          </cell>
          <cell r="B780" t="str">
            <v>VAR_ncap</v>
          </cell>
          <cell r="C780" t="str">
            <v>-</v>
          </cell>
          <cell r="G780">
            <v>1.7761152399009E-4</v>
          </cell>
        </row>
        <row r="781">
          <cell r="A781" t="str">
            <v>T_TW-FCLH2O-S4</v>
          </cell>
          <cell r="B781" t="str">
            <v>VAR_cap</v>
          </cell>
          <cell r="C781" t="str">
            <v>-</v>
          </cell>
          <cell r="G781">
            <v>1.7761152399009E-4</v>
          </cell>
        </row>
        <row r="782">
          <cell r="A782" t="str">
            <v>D-T-ELC-TW_Bat_S4</v>
          </cell>
          <cell r="B782" t="str">
            <v>VAR_fout</v>
          </cell>
          <cell r="C782" t="str">
            <v>T-ELC-TWSTGin_S4</v>
          </cell>
          <cell r="D782">
            <v>1.5350417553464536E-3</v>
          </cell>
          <cell r="E782">
            <v>2.118432822800739E-3</v>
          </cell>
          <cell r="F782">
            <v>2.9261404777811231E-3</v>
          </cell>
          <cell r="G782">
            <v>4.7702546367560987E-2</v>
          </cell>
        </row>
        <row r="783">
          <cell r="A783" t="str">
            <v>D-T-ELC-TW_Bat_S4</v>
          </cell>
          <cell r="B783" t="str">
            <v>VAR_fin</v>
          </cell>
          <cell r="C783" t="str">
            <v>TELC</v>
          </cell>
          <cell r="D783">
            <v>1.5350417553464536E-3</v>
          </cell>
          <cell r="E783">
            <v>2.118432822800739E-3</v>
          </cell>
          <cell r="F783">
            <v>2.9261404777811231E-3</v>
          </cell>
          <cell r="G783">
            <v>4.7702546367560987E-2</v>
          </cell>
        </row>
        <row r="784">
          <cell r="A784" t="str">
            <v>D-T-ELC-TW_Bat_S4</v>
          </cell>
          <cell r="B784" t="str">
            <v>VAR_ncap</v>
          </cell>
          <cell r="C784" t="str">
            <v>-</v>
          </cell>
          <cell r="D784">
            <v>2.93674780444474E-3</v>
          </cell>
          <cell r="E784">
            <v>1.8467682127792799E-5</v>
          </cell>
          <cell r="F784">
            <v>4.2565721317769501E-5</v>
          </cell>
          <cell r="G784">
            <v>2.0798341365489302E-3</v>
          </cell>
        </row>
        <row r="785">
          <cell r="A785" t="str">
            <v>D-T-ELC-TW_Bat_S4</v>
          </cell>
          <cell r="B785" t="str">
            <v>VAR_cap</v>
          </cell>
          <cell r="C785" t="str">
            <v>-</v>
          </cell>
          <cell r="D785">
            <v>2.93674780444474E-3</v>
          </cell>
          <cell r="E785">
            <v>2.9552154865725298E-3</v>
          </cell>
          <cell r="F785">
            <v>2.9977812078903002E-3</v>
          </cell>
          <cell r="G785">
            <v>5.0776153444392303E-3</v>
          </cell>
        </row>
        <row r="786">
          <cell r="A786" t="str">
            <v>T_B_u-ICENGA-S1</v>
          </cell>
          <cell r="B786" t="str">
            <v>VAR_fout</v>
          </cell>
          <cell r="C786" t="str">
            <v>CO2_T</v>
          </cell>
          <cell r="E786">
            <v>0.13412595369375799</v>
          </cell>
          <cell r="F786">
            <v>0.28755034179832101</v>
          </cell>
          <cell r="G786">
            <v>2.9792238403456552E-2</v>
          </cell>
        </row>
        <row r="787">
          <cell r="A787" t="str">
            <v>T_B_u-ICENGA-S1</v>
          </cell>
          <cell r="B787" t="str">
            <v>VAR_fout</v>
          </cell>
          <cell r="C787" t="str">
            <v>TPBSu</v>
          </cell>
          <cell r="E787">
            <v>2.8593921996517571E-4</v>
          </cell>
          <cell r="F787">
            <v>6.2856532996014274E-4</v>
          </cell>
          <cell r="G787">
            <v>6.7452481415699098E-5</v>
          </cell>
        </row>
        <row r="788">
          <cell r="A788" t="str">
            <v>T_B_u-ICENGA-S1</v>
          </cell>
          <cell r="B788" t="str">
            <v>VAR_fin</v>
          </cell>
          <cell r="C788" t="str">
            <v>TNGA</v>
          </cell>
          <cell r="E788">
            <v>2.3781197463432296E-3</v>
          </cell>
          <cell r="F788">
            <v>5.0984103155730749E-3</v>
          </cell>
          <cell r="G788">
            <v>5.282311773662521E-4</v>
          </cell>
        </row>
        <row r="789">
          <cell r="A789" t="str">
            <v>T_B_u-ICENGA-S1</v>
          </cell>
          <cell r="B789" t="str">
            <v>VAR_ncap</v>
          </cell>
          <cell r="C789" t="str">
            <v>-</v>
          </cell>
          <cell r="E789">
            <v>6.6904024722344503E-6</v>
          </cell>
          <cell r="F789">
            <v>6.15267661752623E-6</v>
          </cell>
          <cell r="G789">
            <v>4.0539351550895102E-7</v>
          </cell>
        </row>
        <row r="790">
          <cell r="A790" t="str">
            <v>T_B_u-ICENGA-S1</v>
          </cell>
          <cell r="B790" t="str">
            <v>VAR_cap</v>
          </cell>
          <cell r="C790" t="str">
            <v>-</v>
          </cell>
          <cell r="E790">
            <v>6.6904024722344503E-6</v>
          </cell>
          <cell r="F790">
            <v>1.2804057735027064E-5</v>
          </cell>
          <cell r="G790">
            <v>1.2196658999539992E-6</v>
          </cell>
        </row>
        <row r="791">
          <cell r="A791" t="str">
            <v>T_B_u-ICENGA-S2</v>
          </cell>
          <cell r="B791" t="str">
            <v>VAR_fout</v>
          </cell>
          <cell r="C791" t="str">
            <v>CO2_T</v>
          </cell>
          <cell r="E791">
            <v>8.2614091879356893E-2</v>
          </cell>
          <cell r="F791">
            <v>0.293757872770194</v>
          </cell>
          <cell r="G791">
            <v>3.5957981924027001E-2</v>
          </cell>
        </row>
        <row r="792">
          <cell r="A792" t="str">
            <v>T_B_u-ICENGA-S2</v>
          </cell>
          <cell r="B792" t="str">
            <v>VAR_fout</v>
          </cell>
          <cell r="C792" t="str">
            <v>TPBSu</v>
          </cell>
          <cell r="E792">
            <v>1.2450423545269407E-4</v>
          </cell>
          <cell r="F792">
            <v>4.5760668100620395E-4</v>
          </cell>
          <cell r="G792">
            <v>5.7425674646853255E-5</v>
          </cell>
        </row>
        <row r="793">
          <cell r="A793" t="str">
            <v>T_B_u-ICENGA-S2</v>
          </cell>
          <cell r="B793" t="str">
            <v>VAR_fin</v>
          </cell>
          <cell r="C793" t="str">
            <v>TNGA</v>
          </cell>
          <cell r="E793">
            <v>1.4647888631091652E-3</v>
          </cell>
          <cell r="F793">
            <v>5.2084729214573371E-3</v>
          </cell>
          <cell r="G793">
            <v>6.3755287099338679E-4</v>
          </cell>
        </row>
        <row r="794">
          <cell r="A794" t="str">
            <v>T_B_u-ICENGA-S2</v>
          </cell>
          <cell r="B794" t="str">
            <v>VAR_ncap</v>
          </cell>
          <cell r="C794" t="str">
            <v>-</v>
          </cell>
          <cell r="E794">
            <v>2.72430649819412E-6</v>
          </cell>
          <cell r="F794">
            <v>5.5728982283078299E-6</v>
          </cell>
          <cell r="G794">
            <v>1.5396974258836E-7</v>
          </cell>
        </row>
        <row r="795">
          <cell r="A795" t="str">
            <v>T_B_u-ICENGA-S2</v>
          </cell>
          <cell r="B795" t="str">
            <v>VAR_cap</v>
          </cell>
          <cell r="C795" t="str">
            <v>-</v>
          </cell>
          <cell r="E795">
            <v>2.72430649819412E-6</v>
          </cell>
          <cell r="F795">
            <v>8.2776169049815855E-6</v>
          </cell>
          <cell r="G795">
            <v>4.2126992344447964E-7</v>
          </cell>
        </row>
        <row r="796">
          <cell r="A796" t="str">
            <v>T_B_c-ICEDSLEXT</v>
          </cell>
          <cell r="B796" t="str">
            <v>VAR_fout</v>
          </cell>
          <cell r="C796" t="str">
            <v>CO2_T</v>
          </cell>
          <cell r="D796">
            <v>0.44429367441163797</v>
          </cell>
          <cell r="E796">
            <v>0.441711829193707</v>
          </cell>
          <cell r="F796">
            <v>0.43407115383775102</v>
          </cell>
        </row>
        <row r="797">
          <cell r="A797" t="str">
            <v>T_B_c-ICEDSLEXT</v>
          </cell>
          <cell r="B797" t="str">
            <v>VAR_fout</v>
          </cell>
          <cell r="C797" t="str">
            <v>TPBSc</v>
          </cell>
          <cell r="D797">
            <v>6.0311500047996E-2</v>
          </cell>
          <cell r="E797">
            <v>4.8086489161902661E-2</v>
          </cell>
          <cell r="F797">
            <v>2.9751001412029274E-2</v>
          </cell>
        </row>
        <row r="798">
          <cell r="A798" t="str">
            <v>T_B_c-ICEDSLEXT</v>
          </cell>
          <cell r="B798" t="str">
            <v>VAR_fin</v>
          </cell>
          <cell r="C798" t="str">
            <v>TDSL</v>
          </cell>
          <cell r="D798">
            <v>6.0613052443606891E-3</v>
          </cell>
          <cell r="E798">
            <v>6.026082253665856E-3</v>
          </cell>
          <cell r="F798">
            <v>5.9218438449897869E-3</v>
          </cell>
        </row>
        <row r="799">
          <cell r="A799" t="str">
            <v>T_B_c-ICEDSLEXT</v>
          </cell>
          <cell r="B799" t="str">
            <v>VAR_cap</v>
          </cell>
          <cell r="C799" t="str">
            <v>-</v>
          </cell>
          <cell r="D799">
            <v>1.30332047521267E-3</v>
          </cell>
          <cell r="E799">
            <v>1.04265638017014E-3</v>
          </cell>
          <cell r="F799">
            <v>6.4448157599793503E-4</v>
          </cell>
        </row>
        <row r="800">
          <cell r="A800" t="str">
            <v>T_B_u-ICENGA-S3</v>
          </cell>
          <cell r="B800" t="str">
            <v>VAR_fout</v>
          </cell>
          <cell r="C800" t="str">
            <v>CO2_T</v>
          </cell>
          <cell r="E800">
            <v>0.12045274774294</v>
          </cell>
          <cell r="F800">
            <v>0.722664449632068</v>
          </cell>
          <cell r="G800">
            <v>6.6189740758268806E-2</v>
          </cell>
        </row>
        <row r="801">
          <cell r="A801" t="str">
            <v>T_B_u-ICENGA-S3</v>
          </cell>
          <cell r="B801" t="str">
            <v>VAR_fout</v>
          </cell>
          <cell r="C801" t="str">
            <v>TPBSu</v>
          </cell>
          <cell r="E801">
            <v>1.2050001788873909E-4</v>
          </cell>
          <cell r="F801">
            <v>7.5260424562096924E-4</v>
          </cell>
          <cell r="G801">
            <v>7.0223354229547531E-5</v>
          </cell>
        </row>
        <row r="802">
          <cell r="A802" t="str">
            <v>T_B_u-ICENGA-S3</v>
          </cell>
          <cell r="B802" t="str">
            <v>VAR_fin</v>
          </cell>
          <cell r="C802" t="str">
            <v>TNGA</v>
          </cell>
          <cell r="E802">
            <v>2.1356870167187924E-3</v>
          </cell>
          <cell r="F802">
            <v>1.2813199461561493E-2</v>
          </cell>
          <cell r="G802">
            <v>1.1735769637990902E-3</v>
          </cell>
        </row>
        <row r="803">
          <cell r="A803" t="str">
            <v>T_B_u-ICENGA-S3</v>
          </cell>
          <cell r="B803" t="str">
            <v>VAR_ncap</v>
          </cell>
          <cell r="C803" t="str">
            <v>-</v>
          </cell>
          <cell r="E803">
            <v>2.3779028944992601E-6</v>
          </cell>
          <cell r="F803">
            <v>1.08807253855762E-5</v>
          </cell>
          <cell r="G803">
            <v>4.3880139559581498E-8</v>
          </cell>
        </row>
        <row r="804">
          <cell r="A804" t="str">
            <v>T_B_u-ICENGA-S3</v>
          </cell>
          <cell r="B804" t="str">
            <v>VAR_cap</v>
          </cell>
          <cell r="C804" t="str">
            <v>-</v>
          </cell>
          <cell r="E804">
            <v>2.3779028944992601E-6</v>
          </cell>
          <cell r="F804">
            <v>1.32586282800755E-5</v>
          </cell>
          <cell r="G804">
            <v>1.4834804970919871E-7</v>
          </cell>
        </row>
        <row r="805">
          <cell r="A805" t="str">
            <v>T_B_u-ICENGA-S4</v>
          </cell>
          <cell r="B805" t="str">
            <v>VAR_fout</v>
          </cell>
          <cell r="C805" t="str">
            <v>CO2_T</v>
          </cell>
          <cell r="E805">
            <v>2.8830232576250201E-2</v>
          </cell>
          <cell r="F805">
            <v>8.2350217687518407E-2</v>
          </cell>
          <cell r="G805">
            <v>5.6572224205277397E-2</v>
          </cell>
        </row>
        <row r="806">
          <cell r="A806" t="str">
            <v>T_B_u-ICENGA-S4</v>
          </cell>
          <cell r="B806" t="str">
            <v>VAR_fout</v>
          </cell>
          <cell r="C806" t="str">
            <v>TPBSu</v>
          </cell>
          <cell r="E806">
            <v>1.926573020955691E-5</v>
          </cell>
          <cell r="F806">
            <v>5.6434863752907247E-5</v>
          </cell>
          <cell r="G806">
            <v>4.0200438603369262E-5</v>
          </cell>
        </row>
        <row r="807">
          <cell r="A807" t="str">
            <v>T_B_u-ICENGA-S4</v>
          </cell>
          <cell r="B807" t="str">
            <v>VAR_fin</v>
          </cell>
          <cell r="C807" t="str">
            <v>TNGA</v>
          </cell>
          <cell r="E807">
            <v>5.1117433645833687E-4</v>
          </cell>
          <cell r="F807">
            <v>1.460110242686498E-3</v>
          </cell>
          <cell r="G807">
            <v>1.0030536206609487E-3</v>
          </cell>
        </row>
        <row r="808">
          <cell r="A808" t="str">
            <v>T_B_u-ICENGA-S4</v>
          </cell>
          <cell r="B808" t="str">
            <v>VAR_ncap</v>
          </cell>
          <cell r="C808" t="str">
            <v>-</v>
          </cell>
          <cell r="E808">
            <v>6.8204641675086095E-8</v>
          </cell>
          <cell r="F808">
            <v>7.2135246483347502E-8</v>
          </cell>
          <cell r="G808">
            <v>4.5641684030385201E-8</v>
          </cell>
        </row>
        <row r="809">
          <cell r="A809" t="str">
            <v>T_B_u-ICENGA-S4</v>
          </cell>
          <cell r="B809" t="str">
            <v>VAR_cap</v>
          </cell>
          <cell r="C809" t="str">
            <v>-</v>
          </cell>
          <cell r="E809">
            <v>6.8204641675086095E-8</v>
          </cell>
          <cell r="F809">
            <v>1.0981129473904671E-7</v>
          </cell>
          <cell r="G809">
            <v>4.8358719496030094E-8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18.874840002774317</v>
          </cell>
          <cell r="C9">
            <v>21.791946008281279</v>
          </cell>
          <cell r="D9">
            <v>32.398774427637392</v>
          </cell>
          <cell r="E9">
            <v>54.41742758755997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82.760065957019648</v>
          </cell>
          <cell r="C14">
            <v>82.759336656114726</v>
          </cell>
          <cell r="D14">
            <v>76.100906333578592</v>
          </cell>
          <cell r="E14">
            <v>69.908765460793006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7">
          <cell r="B17">
            <v>12.841988463511951</v>
          </cell>
          <cell r="C17">
            <v>16.070677621855776</v>
          </cell>
          <cell r="D17">
            <v>2.4652736598746894</v>
          </cell>
          <cell r="E17">
            <v>44.692161507987691</v>
          </cell>
        </row>
        <row r="18">
          <cell r="B18">
            <v>3.9634894610343877E-2</v>
          </cell>
          <cell r="C18">
            <v>2.5645816070054618E-3</v>
          </cell>
          <cell r="D18">
            <v>3.759870426523073E-2</v>
          </cell>
          <cell r="E18">
            <v>5.1097582842592843E-3</v>
          </cell>
        </row>
        <row r="19">
          <cell r="B19">
            <v>6.507014407313485</v>
          </cell>
          <cell r="C19">
            <v>7.3098093015021393</v>
          </cell>
          <cell r="D19">
            <v>8.3571361255006948</v>
          </cell>
          <cell r="E19">
            <v>7.7711274439721532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0.96593191713005089</v>
          </cell>
          <cell r="C24">
            <v>1.9314762520194165E-2</v>
          </cell>
          <cell r="D24">
            <v>7.9851462797953549E-2</v>
          </cell>
          <cell r="E24">
            <v>0</v>
          </cell>
        </row>
        <row r="25">
          <cell r="B25">
            <v>3.5079983935050367E-3</v>
          </cell>
          <cell r="C25">
            <v>6.9941105787251099E-3</v>
          </cell>
          <cell r="D25">
            <v>8.7588826730875084E-3</v>
          </cell>
          <cell r="E25">
            <v>5.6067726834903492E-2</v>
          </cell>
        </row>
        <row r="26">
          <cell r="B26">
            <v>1.5475618152654813</v>
          </cell>
          <cell r="C26">
            <v>1.4286404573739921</v>
          </cell>
          <cell r="D26">
            <v>1.3579177780170089</v>
          </cell>
          <cell r="E26">
            <v>1.4936473504932808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1.8349123239430553E-3</v>
          </cell>
          <cell r="C28">
            <v>2.4504348226983604E-3</v>
          </cell>
          <cell r="D28">
            <v>8.458607703420223E-3</v>
          </cell>
          <cell r="E28">
            <v>1.9039403292679326E-3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0.67022153480345359</v>
          </cell>
          <cell r="C39">
            <v>0.2165257068792647</v>
          </cell>
          <cell r="D39">
            <v>0.47426138968811049</v>
          </cell>
          <cell r="E39">
            <v>5.1811120007294945E-2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7.0553886358753079E-2</v>
          </cell>
          <cell r="C41">
            <v>0.16656546239737904</v>
          </cell>
          <cell r="D41">
            <v>0.12551260495420383</v>
          </cell>
          <cell r="E41">
            <v>0.16131818156861827</v>
          </cell>
        </row>
        <row r="42">
          <cell r="B42">
            <v>0.17256107231247877</v>
          </cell>
          <cell r="C42">
            <v>0.40268154372963511</v>
          </cell>
          <cell r="D42">
            <v>1.2506960614241154</v>
          </cell>
          <cell r="E42">
            <v>2.5438574257938686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0.23014468712349984</v>
          </cell>
          <cell r="C44">
            <v>0.24358250636368389</v>
          </cell>
          <cell r="D44">
            <v>1.2725045049717524E-2</v>
          </cell>
          <cell r="E44">
            <v>1.446874655622681E-2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3.9655311133265141E-2</v>
          </cell>
          <cell r="C48">
            <v>1.2010640760934775E-2</v>
          </cell>
          <cell r="D48">
            <v>1.7645600932978896E-2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5.2667992513847454E-2</v>
          </cell>
          <cell r="C51">
            <v>1.6451254986357702E-2</v>
          </cell>
          <cell r="D51">
            <v>3.8739416109709636E-2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0.95943960649442961</v>
          </cell>
          <cell r="C54">
            <v>1.1064357631516968</v>
          </cell>
          <cell r="D54">
            <v>1.1064075775951663</v>
          </cell>
          <cell r="E54">
            <v>1.1068242607460734</v>
          </cell>
        </row>
        <row r="55">
          <cell r="B55">
            <v>0.59464229570300875</v>
          </cell>
          <cell r="C55">
            <v>0.62664260984377185</v>
          </cell>
          <cell r="D55">
            <v>0.53747126247534416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4.153084339351247E-2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9.9717135625453548E-2</v>
          </cell>
          <cell r="C70">
            <v>4.6896170324756133E-2</v>
          </cell>
          <cell r="D70">
            <v>6.7124356785342967E-2</v>
          </cell>
          <cell r="E70">
            <v>9.463092686678605E-2</v>
          </cell>
        </row>
        <row r="71">
          <cell r="B71">
            <v>6.5281552500512124E-2</v>
          </cell>
          <cell r="C71">
            <v>6.1819133058506948E-2</v>
          </cell>
          <cell r="D71">
            <v>6.3527400894878738E-2</v>
          </cell>
          <cell r="E71">
            <v>0.18716294914312429</v>
          </cell>
        </row>
        <row r="72">
          <cell r="B72">
            <v>6.6159788967022293E-2</v>
          </cell>
          <cell r="C72">
            <v>5.603376658909813E-2</v>
          </cell>
          <cell r="D72">
            <v>5.776570356781402E-2</v>
          </cell>
          <cell r="E72">
            <v>0.12783120503251952</v>
          </cell>
        </row>
        <row r="73">
          <cell r="B73">
            <v>2.4299972021673343E-2</v>
          </cell>
          <cell r="C73">
            <v>2.4394370907758912E-2</v>
          </cell>
          <cell r="D73">
            <v>0.13167801759902142</v>
          </cell>
          <cell r="E73">
            <v>0.28044231849520646</v>
          </cell>
        </row>
        <row r="74">
          <cell r="B74">
            <v>5.1266319642339492E-2</v>
          </cell>
          <cell r="C74">
            <v>5.1392459042663659E-2</v>
          </cell>
          <cell r="D74">
            <v>0.28596347365523234</v>
          </cell>
          <cell r="E74">
            <v>0.81663865986003947</v>
          </cell>
        </row>
        <row r="75">
          <cell r="B75">
            <v>4.6514744505135805E-2</v>
          </cell>
          <cell r="C75">
            <v>4.6633373971838789E-2</v>
          </cell>
          <cell r="D75">
            <v>8.9337674316246021E-2</v>
          </cell>
          <cell r="E75">
            <v>9.1715330631372854E-2</v>
          </cell>
        </row>
        <row r="76">
          <cell r="B76">
            <v>2.527381419877003E-2</v>
          </cell>
          <cell r="C76">
            <v>2.5340972593243589E-2</v>
          </cell>
          <cell r="D76">
            <v>0.18634772672368052</v>
          </cell>
          <cell r="E76">
            <v>0.51232319654089487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1.8036467630566795</v>
          </cell>
          <cell r="C91">
            <v>3.7114377824545387E-2</v>
          </cell>
          <cell r="D91">
            <v>0.15994218272706601</v>
          </cell>
          <cell r="E91">
            <v>0</v>
          </cell>
        </row>
        <row r="92">
          <cell r="B92">
            <v>6.3464070776262399E-2</v>
          </cell>
          <cell r="C92">
            <v>0.48747789881660691</v>
          </cell>
          <cell r="D92">
            <v>0.49142424976382193</v>
          </cell>
          <cell r="E92">
            <v>0.15455314246977811</v>
          </cell>
        </row>
        <row r="93">
          <cell r="B93">
            <v>14.461386032860608</v>
          </cell>
          <cell r="C93">
            <v>13.06429502478572</v>
          </cell>
          <cell r="D93">
            <v>12.384524026407272</v>
          </cell>
          <cell r="E93">
            <v>13.423956535214588</v>
          </cell>
        </row>
        <row r="94">
          <cell r="B94">
            <v>9.436691951707139E-3</v>
          </cell>
          <cell r="C94">
            <v>1.2602236231020103E-2</v>
          </cell>
          <cell r="D94">
            <v>4.3501411046161162E-2</v>
          </cell>
          <cell r="E94">
            <v>9.7916931219493644E-3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1.7331149429487607</v>
          </cell>
          <cell r="C97">
            <v>0.70059861527119149</v>
          </cell>
          <cell r="D97">
            <v>7.2432940192724088E-2</v>
          </cell>
          <cell r="E97">
            <v>0</v>
          </cell>
        </row>
        <row r="98">
          <cell r="B98">
            <v>0.90187791691648245</v>
          </cell>
          <cell r="C98">
            <v>0.90182699799917021</v>
          </cell>
          <cell r="D98">
            <v>0.90183460687170802</v>
          </cell>
          <cell r="E98">
            <v>0.90182760903795767</v>
          </cell>
        </row>
        <row r="99">
          <cell r="B99">
            <v>2.9006969043703221</v>
          </cell>
          <cell r="C99">
            <v>7.6011446679458627</v>
          </cell>
          <cell r="D99">
            <v>7.5220312876419371</v>
          </cell>
          <cell r="E99">
            <v>2.1306640705997935</v>
          </cell>
        </row>
        <row r="100">
          <cell r="B100">
            <v>0.18434257993190098</v>
          </cell>
          <cell r="C100">
            <v>0.18378174247741455</v>
          </cell>
          <cell r="D100">
            <v>7.1846489861079567E-3</v>
          </cell>
          <cell r="E100">
            <v>8.9284904955794931E-3</v>
          </cell>
        </row>
        <row r="101">
          <cell r="B101">
            <v>2.4517557807960362</v>
          </cell>
          <cell r="C101">
            <v>2.2126698813532819</v>
          </cell>
          <cell r="D101">
            <v>1.8971086139180009</v>
          </cell>
          <cell r="E101">
            <v>1.71362856189693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1.2798217833901015E-3</v>
          </cell>
        </row>
        <row r="104">
          <cell r="B104">
            <v>0.9300285020017458</v>
          </cell>
          <cell r="C104">
            <v>2.0129949751913112</v>
          </cell>
          <cell r="D104">
            <v>1.3104198277838217</v>
          </cell>
          <cell r="E104">
            <v>1.2420320861859517</v>
          </cell>
        </row>
        <row r="105">
          <cell r="B105">
            <v>0.65994744305975483</v>
          </cell>
          <cell r="C105">
            <v>1.4023866118570587</v>
          </cell>
          <cell r="D105">
            <v>3.7144502899717744</v>
          </cell>
          <cell r="E105">
            <v>5.3812368622562738</v>
          </cell>
        </row>
        <row r="106">
          <cell r="B106">
            <v>1.9356600170775753</v>
          </cell>
          <cell r="C106">
            <v>1.9671878820404487</v>
          </cell>
          <cell r="D106">
            <v>9.6382372040252254E-2</v>
          </cell>
          <cell r="E106">
            <v>9.748796287784349E-2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9.5466489765268031E-2</v>
          </cell>
          <cell r="C109">
            <v>2.8622183062037208E-2</v>
          </cell>
          <cell r="D109">
            <v>4.1406476263365882E-2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0.11441667339215134</v>
          </cell>
          <cell r="C112">
            <v>3.539099865800819E-2</v>
          </cell>
          <cell r="D112">
            <v>8.2109750926786962E-2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1.4244197113477317</v>
          </cell>
          <cell r="C115">
            <v>1.5790260566022303</v>
          </cell>
          <cell r="D115">
            <v>1.4835438423017189</v>
          </cell>
          <cell r="E115">
            <v>1.3249726680492411</v>
          </cell>
        </row>
        <row r="116">
          <cell r="B116">
            <v>0.69286105154594424</v>
          </cell>
          <cell r="C116">
            <v>0.75112864504069488</v>
          </cell>
          <cell r="D116">
            <v>0.67123691079052017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3.125742423827519E-2</v>
          </cell>
        </row>
        <row r="123">
          <cell r="B123">
            <v>0</v>
          </cell>
          <cell r="C123">
            <v>4.1398524482292398</v>
          </cell>
          <cell r="D123">
            <v>4.2653255612942047</v>
          </cell>
          <cell r="E123">
            <v>11.51943336264898</v>
          </cell>
        </row>
      </sheetData>
      <sheetData sheetId="59">
        <row r="13">
          <cell r="B13">
            <v>16.052497217129396</v>
          </cell>
          <cell r="C13">
            <v>20.088411546215649</v>
          </cell>
          <cell r="D13">
            <v>3.0816247243326447</v>
          </cell>
          <cell r="E13">
            <v>55.865174673623464</v>
          </cell>
        </row>
        <row r="14">
          <cell r="B14">
            <v>250.94871707957057</v>
          </cell>
          <cell r="C14">
            <v>253.29674232384002</v>
          </cell>
          <cell r="D14">
            <v>233.18388719099903</v>
          </cell>
          <cell r="E14">
            <v>211.82063694625381</v>
          </cell>
        </row>
        <row r="15">
          <cell r="B15">
            <v>66.745681606063101</v>
          </cell>
          <cell r="C15">
            <v>49.798777987808691</v>
          </cell>
          <cell r="D15">
            <v>68.970400584037336</v>
          </cell>
          <cell r="E15">
            <v>70.970232393460137</v>
          </cell>
        </row>
        <row r="16">
          <cell r="B16">
            <v>66.632430866657671</v>
          </cell>
          <cell r="C16">
            <v>55.764055694378619</v>
          </cell>
          <cell r="D16">
            <v>65.677217745587797</v>
          </cell>
          <cell r="E16">
            <v>64.853740316850036</v>
          </cell>
        </row>
        <row r="18">
          <cell r="B18">
            <v>0.23725264665402263</v>
          </cell>
          <cell r="C18">
            <v>0.29228510052458495</v>
          </cell>
          <cell r="D18">
            <v>0.13554092101139664</v>
          </cell>
          <cell r="E18">
            <v>1.7718494471028752E-2</v>
          </cell>
        </row>
        <row r="19">
          <cell r="B19">
            <v>18.203630783692468</v>
          </cell>
          <cell r="C19">
            <v>20.449481328055573</v>
          </cell>
          <cell r="D19">
            <v>23.37941964085519</v>
          </cell>
          <cell r="E19">
            <v>21.740037121186226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2.9381085723922289</v>
          </cell>
          <cell r="M22">
            <v>0.90428017575288155</v>
          </cell>
          <cell r="N22">
            <v>0.97661515684633826</v>
          </cell>
          <cell r="O22">
            <v>3.6898687163034349E-2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7.6066531274727234E-2</v>
          </cell>
          <cell r="M23">
            <v>3.2361148076185599E-2</v>
          </cell>
          <cell r="N23">
            <v>5.5767105766502109E-2</v>
          </cell>
          <cell r="O23">
            <v>4.216440440502317E-3</v>
          </cell>
        </row>
        <row r="24">
          <cell r="B24">
            <v>4.0101610852921787</v>
          </cell>
          <cell r="C24">
            <v>8.3666921957301368E-2</v>
          </cell>
          <cell r="D24">
            <v>0.34797184820040949</v>
          </cell>
          <cell r="E24">
            <v>0</v>
          </cell>
        </row>
        <row r="25">
          <cell r="B25">
            <v>1.4503910075075148E-2</v>
          </cell>
          <cell r="C25">
            <v>3.3081899380229367E-2</v>
          </cell>
          <cell r="D25">
            <v>4.4179269800994389E-2</v>
          </cell>
          <cell r="E25">
            <v>0.21209323772649974</v>
          </cell>
        </row>
        <row r="26">
          <cell r="B26">
            <v>40.318253897903311</v>
          </cell>
          <cell r="C26">
            <v>38.764985734634266</v>
          </cell>
          <cell r="D26">
            <v>36.645937194033309</v>
          </cell>
          <cell r="E26">
            <v>40.836478007374645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0.1360994082020909</v>
          </cell>
          <cell r="C28">
            <v>0.31375256943019902</v>
          </cell>
          <cell r="D28">
            <v>9.7893394281909907E-2</v>
          </cell>
          <cell r="E28">
            <v>1.9623593185179356E-2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0.54530775595618142</v>
          </cell>
          <cell r="D33">
            <v>0.50318035428973074</v>
          </cell>
          <cell r="E33">
            <v>2.0503052471689203</v>
          </cell>
        </row>
        <row r="34">
          <cell r="B34">
            <v>0</v>
          </cell>
          <cell r="C34">
            <v>0</v>
          </cell>
          <cell r="D34">
            <v>0.14061592372971998</v>
          </cell>
          <cell r="E34">
            <v>0.57957701760343749</v>
          </cell>
        </row>
        <row r="35">
          <cell r="B35">
            <v>3.517953999707534</v>
          </cell>
          <cell r="C35">
            <v>4.8486281142671022</v>
          </cell>
          <cell r="D35">
            <v>11.161305651766572</v>
          </cell>
          <cell r="E35">
            <v>19.477151131911679</v>
          </cell>
        </row>
        <row r="36">
          <cell r="B36">
            <v>2.1349390887346629</v>
          </cell>
          <cell r="C36">
            <v>3.3914827647697323</v>
          </cell>
          <cell r="D36">
            <v>4.6620329377745984</v>
          </cell>
          <cell r="E36">
            <v>11.187020787587855</v>
          </cell>
        </row>
        <row r="37">
          <cell r="B37">
            <v>0.86248322578584768</v>
          </cell>
          <cell r="C37">
            <v>1.2885477144662159</v>
          </cell>
          <cell r="D37">
            <v>2.869986314729239</v>
          </cell>
          <cell r="E37">
            <v>3.1633710222567237</v>
          </cell>
        </row>
        <row r="38">
          <cell r="B38">
            <v>2.8396236857719668</v>
          </cell>
          <cell r="C38">
            <v>3.2944605147353974</v>
          </cell>
          <cell r="D38">
            <v>9.9662483434325413</v>
          </cell>
          <cell r="E38">
            <v>17.9023480892942</v>
          </cell>
        </row>
        <row r="39">
          <cell r="B39">
            <v>2.1011342061765723</v>
          </cell>
          <cell r="C39">
            <v>0.61721584389619677</v>
          </cell>
          <cell r="D39">
            <v>1.3509293130573314</v>
          </cell>
          <cell r="E39">
            <v>0.14801445937273203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0.39916750447814997</v>
          </cell>
          <cell r="C41">
            <v>0.67873589045973448</v>
          </cell>
          <cell r="D41">
            <v>0.51433225293203977</v>
          </cell>
          <cell r="E41">
            <v>0.61514381707296373</v>
          </cell>
        </row>
        <row r="42">
          <cell r="B42">
            <v>0.87271771145520349</v>
          </cell>
          <cell r="C42">
            <v>1.7856104341453656</v>
          </cell>
          <cell r="D42">
            <v>4.6818413972954458</v>
          </cell>
          <cell r="E42">
            <v>7.5215718293949587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3.7120638912944655</v>
          </cell>
          <cell r="C44">
            <v>3.9300157115484753</v>
          </cell>
          <cell r="D44">
            <v>0.20533323866609896</v>
          </cell>
          <cell r="E44">
            <v>0.23346986813967852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0.36964362496619191</v>
          </cell>
          <cell r="C48">
            <v>4.7999032411889839E-2</v>
          </cell>
          <cell r="D48">
            <v>0.16050359970602099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0.40922350646158312</v>
          </cell>
          <cell r="C51">
            <v>6.0887781202826972E-2</v>
          </cell>
          <cell r="D51">
            <v>0.22886442134637469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2.6455257427952419</v>
          </cell>
          <cell r="C54">
            <v>3.0501497583617807</v>
          </cell>
          <cell r="D54">
            <v>3.0613866770378437</v>
          </cell>
          <cell r="E54">
            <v>3.0405769708236456</v>
          </cell>
        </row>
        <row r="55">
          <cell r="B55">
            <v>1.9325400449012506</v>
          </cell>
          <cell r="C55">
            <v>1.7422029624537152</v>
          </cell>
          <cell r="D55">
            <v>1.5435360398165627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8.7433354512657865E-2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0.14259270360686971</v>
          </cell>
          <cell r="C63">
            <v>6.7111088028825455E-2</v>
          </cell>
          <cell r="D63">
            <v>9.591150856597179E-2</v>
          </cell>
          <cell r="E63">
            <v>0.13523474292896367</v>
          </cell>
        </row>
        <row r="64">
          <cell r="B64">
            <v>7.568817361514843E-2</v>
          </cell>
          <cell r="C64">
            <v>7.1510951842750053E-2</v>
          </cell>
          <cell r="D64">
            <v>7.3281443349705988E-2</v>
          </cell>
          <cell r="E64">
            <v>0.21589922497023142</v>
          </cell>
        </row>
        <row r="65">
          <cell r="B65">
            <v>7.3999378163524338E-2</v>
          </cell>
          <cell r="C65">
            <v>6.2665356006377029E-2</v>
          </cell>
          <cell r="D65">
            <v>6.4617068089746862E-2</v>
          </cell>
          <cell r="E65">
            <v>0.14298741531296721</v>
          </cell>
        </row>
        <row r="66">
          <cell r="B66">
            <v>2.6988860836167975E-2</v>
          </cell>
          <cell r="C66">
            <v>2.7063249737833448E-2</v>
          </cell>
          <cell r="D66">
            <v>0.14563440610302489</v>
          </cell>
          <cell r="E66">
            <v>0.31014545012189976</v>
          </cell>
        </row>
        <row r="67">
          <cell r="B67">
            <v>5.6926372581146967E-2</v>
          </cell>
          <cell r="C67">
            <v>5.7040408185467774E-2</v>
          </cell>
          <cell r="D67">
            <v>0.31627214219597655</v>
          </cell>
          <cell r="E67">
            <v>0.90312027066322043</v>
          </cell>
        </row>
        <row r="68">
          <cell r="B68">
            <v>5.1671772909639355E-2</v>
          </cell>
          <cell r="C68">
            <v>5.1777503542751388E-2</v>
          </cell>
          <cell r="D68">
            <v>9.8830390023417036E-2</v>
          </cell>
          <cell r="E68">
            <v>0.10145308080786458</v>
          </cell>
        </row>
        <row r="69">
          <cell r="B69">
            <v>2.8065798617031283E-2</v>
          </cell>
          <cell r="C69">
            <v>2.8114427363918042E-2</v>
          </cell>
          <cell r="D69">
            <v>0.20609229772441351</v>
          </cell>
          <cell r="E69">
            <v>0.56657435010208379</v>
          </cell>
        </row>
        <row r="90">
          <cell r="B90">
            <v>2.0283279054032661</v>
          </cell>
          <cell r="C90">
            <v>0.81993622386271225</v>
          </cell>
          <cell r="D90">
            <v>8.4770923279525318E-2</v>
          </cell>
          <cell r="E90">
            <v>0</v>
          </cell>
        </row>
        <row r="91">
          <cell r="B91">
            <v>1.1840860449880417</v>
          </cell>
          <cell r="C91">
            <v>1.1840191929471144</v>
          </cell>
          <cell r="D91">
            <v>1.1840291827246885</v>
          </cell>
          <cell r="E91">
            <v>1.1840199951870698</v>
          </cell>
        </row>
        <row r="92">
          <cell r="B92">
            <v>1.4503484521851611</v>
          </cell>
          <cell r="C92">
            <v>3.8005723339729314</v>
          </cell>
          <cell r="D92">
            <v>3.7610156438209685</v>
          </cell>
          <cell r="E92">
            <v>1.0653320352998967</v>
          </cell>
        </row>
        <row r="93">
          <cell r="B93">
            <v>0.21574287415336313</v>
          </cell>
          <cell r="C93">
            <v>0.2150865055357141</v>
          </cell>
          <cell r="D93">
            <v>8.4084578973484207E-3</v>
          </cell>
          <cell r="E93">
            <v>1.0449339496490144E-2</v>
          </cell>
        </row>
        <row r="94">
          <cell r="B94">
            <v>3.5025082582800544</v>
          </cell>
          <cell r="C94">
            <v>3.1609569733618343</v>
          </cell>
          <cell r="D94">
            <v>2.7101551627400027</v>
          </cell>
          <cell r="E94">
            <v>2.4480408027098997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2.5596435667802012E-3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1.3799508160764142</v>
          </cell>
          <cell r="D97">
            <v>1.4217751870980675</v>
          </cell>
          <cell r="E97">
            <v>3.8398111208829926</v>
          </cell>
        </row>
      </sheetData>
      <sheetData sheetId="60">
        <row r="14">
          <cell r="B14">
            <v>3.0805574440748962</v>
          </cell>
          <cell r="C14">
            <v>3.0805512918717244</v>
          </cell>
          <cell r="D14">
            <v>2.8402357421350652</v>
          </cell>
          <cell r="E14">
            <v>2.6090378441108784</v>
          </cell>
        </row>
        <row r="15">
          <cell r="B15">
            <v>7.3394300010600002</v>
          </cell>
          <cell r="C15">
            <v>7.4068633440738028</v>
          </cell>
          <cell r="D15">
            <v>7.423698135618003</v>
          </cell>
          <cell r="E15">
            <v>7.4237970576586196</v>
          </cell>
        </row>
        <row r="16">
          <cell r="B16">
            <v>4.7247299999999992</v>
          </cell>
          <cell r="C16">
            <v>4.8168369740620012</v>
          </cell>
          <cell r="D16">
            <v>4.8809690325953117</v>
          </cell>
          <cell r="E16">
            <v>4.9033383858695121</v>
          </cell>
        </row>
        <row r="17">
          <cell r="B17">
            <v>3.3394499999999998</v>
          </cell>
          <cell r="C17">
            <v>3.9759002044846681</v>
          </cell>
          <cell r="D17">
            <v>4.364321258363618</v>
          </cell>
          <cell r="E17">
            <v>4.364321258363618</v>
          </cell>
        </row>
        <row r="18">
          <cell r="B18">
            <v>8.1232829986476796E-2</v>
          </cell>
          <cell r="C18">
            <v>3.5789385088572843E-2</v>
          </cell>
          <cell r="D18">
            <v>3.26621325943348E-2</v>
          </cell>
          <cell r="E18">
            <v>4.0101408809086622E-2</v>
          </cell>
        </row>
        <row r="19">
          <cell r="B19">
            <v>0.27864794579481322</v>
          </cell>
          <cell r="C19">
            <v>0.27853140953903349</v>
          </cell>
          <cell r="D19">
            <v>0.3117939057380455</v>
          </cell>
          <cell r="E19">
            <v>0.28992250172190026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0.10832730174213549</v>
          </cell>
          <cell r="C24">
            <v>6.1850074897967927E-3</v>
          </cell>
          <cell r="D24">
            <v>6.1699499611585912E-3</v>
          </cell>
          <cell r="E24">
            <v>-9.4486187225961693E-6</v>
          </cell>
        </row>
        <row r="25">
          <cell r="B25">
            <v>6.3088220311879883E-4</v>
          </cell>
          <cell r="C25">
            <v>1.2370814708184685E-3</v>
          </cell>
          <cell r="D25">
            <v>1.5587230261404142E-3</v>
          </cell>
          <cell r="E25">
            <v>3.8329771409397612E-3</v>
          </cell>
        </row>
        <row r="26">
          <cell r="B26">
            <v>7.8399388895541613E-2</v>
          </cell>
          <cell r="C26">
            <v>7.1209981135797421E-2</v>
          </cell>
          <cell r="D26">
            <v>7.1168742030482721E-2</v>
          </cell>
          <cell r="E26">
            <v>7.4049215095624857E-2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1.0757283737330673E-2</v>
          </cell>
          <cell r="C28">
            <v>1.0406777987479129E-2</v>
          </cell>
          <cell r="D28">
            <v>1.0067985908567135E-2</v>
          </cell>
          <cell r="E28">
            <v>5.9965843477021719E-3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9.0662617745997209E-2</v>
          </cell>
          <cell r="D33">
            <v>8.365853523992621E-2</v>
          </cell>
          <cell r="E33">
            <v>0.34088408587087532</v>
          </cell>
        </row>
        <row r="34">
          <cell r="B34">
            <v>0</v>
          </cell>
          <cell r="C34">
            <v>0</v>
          </cell>
          <cell r="D34">
            <v>4.4864911900832499E-2</v>
          </cell>
          <cell r="E34">
            <v>0.12144667718272187</v>
          </cell>
        </row>
        <row r="35">
          <cell r="B35">
            <v>1.1186210000000001</v>
          </cell>
          <cell r="C35">
            <v>1.652929024573641</v>
          </cell>
          <cell r="D35">
            <v>3.56113268765997</v>
          </cell>
          <cell r="E35">
            <v>5.6147042074852802</v>
          </cell>
        </row>
        <row r="36">
          <cell r="B36">
            <v>0.67885700000000004</v>
          </cell>
          <cell r="C36">
            <v>1.1561786480868297</v>
          </cell>
          <cell r="D36">
            <v>1.487477375800486</v>
          </cell>
          <cell r="E36">
            <v>3.2249065931547394</v>
          </cell>
        </row>
        <row r="37">
          <cell r="B37">
            <v>0.27424799999999999</v>
          </cell>
          <cell r="C37">
            <v>0.43927434041024166</v>
          </cell>
          <cell r="D37">
            <v>0.91570631028671357</v>
          </cell>
          <cell r="E37">
            <v>0.91192177711104327</v>
          </cell>
        </row>
        <row r="38">
          <cell r="B38">
            <v>0.90292899999999998</v>
          </cell>
          <cell r="C38">
            <v>1.1231031287168727</v>
          </cell>
          <cell r="D38">
            <v>3.1798359897832205</v>
          </cell>
          <cell r="E38">
            <v>5.1607326569476903</v>
          </cell>
        </row>
        <row r="39">
          <cell r="B39">
            <v>4.5701033344932203E-2</v>
          </cell>
          <cell r="C39">
            <v>3.3830713134860552E-2</v>
          </cell>
          <cell r="D39">
            <v>2.5276254932664131E-2</v>
          </cell>
          <cell r="E39">
            <v>1.2310992878392848E-2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8.2975477927690958E-3</v>
          </cell>
          <cell r="C41">
            <v>2.416230990243735E-2</v>
          </cell>
          <cell r="D41">
            <v>2.4136818839332119E-2</v>
          </cell>
          <cell r="E41">
            <v>2.4120541974585231E-2</v>
          </cell>
        </row>
        <row r="42">
          <cell r="B42">
            <v>1.2870252393461221E-2</v>
          </cell>
          <cell r="C42">
            <v>1.5038137398861954E-2</v>
          </cell>
          <cell r="D42">
            <v>4.631644953856081E-2</v>
          </cell>
          <cell r="E42">
            <v>9.4195697419412902E-2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4.0001951834753802E-2</v>
          </cell>
          <cell r="C44">
            <v>1.0543202720331026E-2</v>
          </cell>
          <cell r="D44">
            <v>4.779181618425471E-3</v>
          </cell>
          <cell r="E44">
            <v>4.287235883088731E-3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4.186609550019503E-3</v>
          </cell>
          <cell r="C48">
            <v>2.5028330250821723E-3</v>
          </cell>
          <cell r="D48">
            <v>2.0891366071578588E-3</v>
          </cell>
          <cell r="E48">
            <v>1.8233478151781575E-3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1.2036453705936865E-2</v>
          </cell>
          <cell r="C51">
            <v>4.8900488044276366E-3</v>
          </cell>
          <cell r="D51">
            <v>4.8261182680332977E-3</v>
          </cell>
          <cell r="E51">
            <v>3.4719353208816361E-3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7.3508874322882001E-2</v>
          </cell>
          <cell r="C54">
            <v>8.4809279494260148E-2</v>
          </cell>
          <cell r="D54">
            <v>8.4799500733820837E-2</v>
          </cell>
          <cell r="E54">
            <v>8.49347801261357E-2</v>
          </cell>
        </row>
        <row r="55">
          <cell r="B55">
            <v>6.5195402228535926E-2</v>
          </cell>
          <cell r="C55">
            <v>4.8067676275953139E-2</v>
          </cell>
          <cell r="D55">
            <v>3.3877160342709309E-2</v>
          </cell>
          <cell r="E55">
            <v>4.2992398153878994E-3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9.997276009901121E-2</v>
          </cell>
          <cell r="D63">
            <v>9.9969443633639521E-2</v>
          </cell>
          <cell r="E63">
            <v>9.997017813003288E-2</v>
          </cell>
        </row>
        <row r="64">
          <cell r="B64">
            <v>1.2706960992768201E-2</v>
          </cell>
          <cell r="C64">
            <v>1.271593329609862E-2</v>
          </cell>
          <cell r="D64">
            <v>1.2866627606723847E-2</v>
          </cell>
          <cell r="E64">
            <v>3.1949216350766994E-2</v>
          </cell>
        </row>
        <row r="65">
          <cell r="B65">
            <v>9.6401009126476107E-3</v>
          </cell>
          <cell r="C65">
            <v>9.6497167756319675E-3</v>
          </cell>
          <cell r="D65">
            <v>9.7586707475158276E-3</v>
          </cell>
          <cell r="E65">
            <v>1.7650283203251058E-2</v>
          </cell>
        </row>
        <row r="66">
          <cell r="B66">
            <v>1.0042638807873625E-2</v>
          </cell>
          <cell r="C66">
            <v>1.0056056809871984E-2</v>
          </cell>
          <cell r="D66">
            <v>7.1502404852610613E-2</v>
          </cell>
          <cell r="E66">
            <v>0.11485678790357512</v>
          </cell>
        </row>
        <row r="67">
          <cell r="B67">
            <v>2.118490047211433E-2</v>
          </cell>
          <cell r="C67">
            <v>2.1217381428038345E-2</v>
          </cell>
          <cell r="D67">
            <v>0.15329253630117884</v>
          </cell>
          <cell r="E67">
            <v>0.33449920570524139</v>
          </cell>
        </row>
        <row r="68">
          <cell r="B68">
            <v>1.9202524602450664E-2</v>
          </cell>
          <cell r="C68">
            <v>1.9226490388208617E-2</v>
          </cell>
          <cell r="D68">
            <v>3.6728619300343449E-2</v>
          </cell>
          <cell r="E68">
            <v>3.7537359726462008E-2</v>
          </cell>
        </row>
        <row r="69">
          <cell r="B69">
            <v>1.0448184434593983E-2</v>
          </cell>
          <cell r="C69">
            <v>1.0463179400263247E-2</v>
          </cell>
          <cell r="D69">
            <v>0.12549833836302349</v>
          </cell>
          <cell r="E69">
            <v>0.20984454133192129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6.7433343013801897E-2</v>
          </cell>
          <cell r="D15">
            <v>1.9269694653528339E-2</v>
          </cell>
          <cell r="E15">
            <v>0.19600321022085351</v>
          </cell>
        </row>
        <row r="16">
          <cell r="B16">
            <v>0</v>
          </cell>
          <cell r="C16">
            <v>9.77240805752062E-3</v>
          </cell>
          <cell r="D16">
            <v>3.699075894892441E-2</v>
          </cell>
          <cell r="E16">
            <v>1.9946923314106469E-3</v>
          </cell>
        </row>
        <row r="17">
          <cell r="B17">
            <v>0</v>
          </cell>
          <cell r="C17">
            <v>4.8712583636179498E-3</v>
          </cell>
          <cell r="D17">
            <v>2.59622543678957E-6</v>
          </cell>
          <cell r="E17">
            <v>2.5997829062343898E-6</v>
          </cell>
        </row>
        <row r="18">
          <cell r="B18">
            <v>0</v>
          </cell>
          <cell r="C18">
            <v>6.8119039490294295E-4</v>
          </cell>
          <cell r="D18">
            <v>1.5747048355054499E-2</v>
          </cell>
          <cell r="E18">
            <v>1.671709355842E-2</v>
          </cell>
        </row>
        <row r="19">
          <cell r="B19">
            <v>0</v>
          </cell>
          <cell r="C19">
            <v>6.2944844115577101E-6</v>
          </cell>
          <cell r="D19">
            <v>3.3303223640693103E-2</v>
          </cell>
          <cell r="E19">
            <v>4.7093043683537297E-2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3.16525421390184E-6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6.7366484568596205E-4</v>
          </cell>
          <cell r="D25">
            <v>3.2804993034795098E-4</v>
          </cell>
          <cell r="E25">
            <v>2.33579354156465E-3</v>
          </cell>
        </row>
        <row r="26">
          <cell r="B26">
            <v>0</v>
          </cell>
          <cell r="C26">
            <v>7.2413854533022801E-6</v>
          </cell>
          <cell r="D26">
            <v>4.0133576567924799E-6</v>
          </cell>
          <cell r="E26">
            <v>2.9064328118965899E-3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4.3320247787038599E-4</v>
          </cell>
          <cell r="D28">
            <v>1.4826461404456501E-4</v>
          </cell>
          <cell r="E28">
            <v>1.24311930833582E-4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7.1347297093900097E-3</v>
          </cell>
          <cell r="D33">
            <v>0.29201248831448601</v>
          </cell>
          <cell r="E33">
            <v>0.28589390713535401</v>
          </cell>
        </row>
        <row r="34">
          <cell r="B34">
            <v>0</v>
          </cell>
          <cell r="C34">
            <v>0</v>
          </cell>
          <cell r="D34">
            <v>4.490579305494672E-2</v>
          </cell>
          <cell r="E34">
            <v>0.22034307666447547</v>
          </cell>
        </row>
        <row r="35">
          <cell r="B35">
            <v>0</v>
          </cell>
          <cell r="C35">
            <v>2.0099865908369601E-6</v>
          </cell>
          <cell r="D35">
            <v>1.76790967767338</v>
          </cell>
          <cell r="E35">
            <v>2.1224874166294101</v>
          </cell>
        </row>
        <row r="36">
          <cell r="B36">
            <v>0</v>
          </cell>
          <cell r="C36">
            <v>2.7873040867991032E-4</v>
          </cell>
          <cell r="D36">
            <v>0.19804164539180591</v>
          </cell>
          <cell r="E36">
            <v>1.7743120522978684</v>
          </cell>
        </row>
        <row r="37">
          <cell r="B37">
            <v>0</v>
          </cell>
          <cell r="C37">
            <v>3.2902293382866467E-4</v>
          </cell>
          <cell r="D37">
            <v>0.43222928735288446</v>
          </cell>
          <cell r="E37">
            <v>7.9402545648480701E-3</v>
          </cell>
        </row>
        <row r="38">
          <cell r="B38">
            <v>0</v>
          </cell>
          <cell r="C38">
            <v>1.8671488626671899E-6</v>
          </cell>
          <cell r="D38">
            <v>2.0046051226343602</v>
          </cell>
          <cell r="E38">
            <v>2.0654664889237901</v>
          </cell>
        </row>
        <row r="39">
          <cell r="B39">
            <v>0</v>
          </cell>
          <cell r="C39">
            <v>1.3583102283850299E-5</v>
          </cell>
          <cell r="D39">
            <v>1.73569168056178E-3</v>
          </cell>
          <cell r="E39">
            <v>3.48541316175593E-3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2.3246857721985099E-2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1.3360940420271099E-2</v>
          </cell>
          <cell r="D42">
            <v>3.12815534922702E-2</v>
          </cell>
          <cell r="E42">
            <v>4.7887059106327602E-2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6.5538495284263599E-6</v>
          </cell>
          <cell r="D44">
            <v>2.8977592202434901E-6</v>
          </cell>
          <cell r="E44">
            <v>1.1165389637362701E-5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9.64415610812778E-4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1.3927684143595729E-4</v>
          </cell>
        </row>
        <row r="51">
          <cell r="B51">
            <v>0</v>
          </cell>
          <cell r="C51">
            <v>1.4748962007393746E-3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2.4619668007455696E-4</v>
          </cell>
        </row>
        <row r="54">
          <cell r="B54">
            <v>0</v>
          </cell>
          <cell r="C54">
            <v>2.6269355026159E-2</v>
          </cell>
          <cell r="D54">
            <v>6.6458896458788802E-3</v>
          </cell>
          <cell r="E54">
            <v>1.2345629759013E-2</v>
          </cell>
        </row>
        <row r="55">
          <cell r="B55">
            <v>0</v>
          </cell>
          <cell r="C55">
            <v>2.7374575293055599E-2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2.5563926205390602E-4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2.5823633226281801E-3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9.8710089689859603E-6</v>
          </cell>
          <cell r="D63">
            <v>1.01942253928081E-5</v>
          </cell>
          <cell r="E63">
            <v>9.7242591239973706E-6</v>
          </cell>
        </row>
        <row r="64">
          <cell r="B64">
            <v>1.2706960992768201E-2</v>
          </cell>
          <cell r="C64">
            <v>2.2776678607035101E-5</v>
          </cell>
          <cell r="D64">
            <v>1.65505083251737E-4</v>
          </cell>
          <cell r="E64">
            <v>2.24933384207151E-2</v>
          </cell>
        </row>
        <row r="65">
          <cell r="B65">
            <v>9.6401009126476107E-3</v>
          </cell>
          <cell r="C65">
            <v>1.6638496562853701E-5</v>
          </cell>
          <cell r="D65">
            <v>1.19894829257338E-4</v>
          </cell>
          <cell r="E65">
            <v>1.0479613311352101E-2</v>
          </cell>
        </row>
        <row r="66">
          <cell r="B66">
            <v>1.00410939041946E-2</v>
          </cell>
          <cell r="C66">
            <v>1.8785329182832801E-5</v>
          </cell>
          <cell r="D66">
            <v>6.1457699811451397E-2</v>
          </cell>
          <cell r="E66">
            <v>4.6053601755835998E-2</v>
          </cell>
        </row>
        <row r="67">
          <cell r="B67">
            <v>2.1180689472327201E-2</v>
          </cell>
          <cell r="C67">
            <v>4.32396374258433E-5</v>
          </cell>
          <cell r="D67">
            <v>0.1320948586757755</v>
          </cell>
          <cell r="E67">
            <v>0.18690264250508282</v>
          </cell>
        </row>
        <row r="68">
          <cell r="B68">
            <v>1.9198317434659079E-2</v>
          </cell>
          <cell r="C68">
            <v>3.4923649636720602E-5</v>
          </cell>
          <cell r="D68">
            <v>1.7526191616338321E-2</v>
          </cell>
          <cell r="E68">
            <v>5.9699228842563096E-3</v>
          </cell>
        </row>
        <row r="69">
          <cell r="B69">
            <v>1.0446407934496501E-2</v>
          </cell>
          <cell r="C69">
            <v>2.03944171320226E-5</v>
          </cell>
          <cell r="D69">
            <v>0.115044101282492</v>
          </cell>
          <cell r="E69">
            <v>8.7155393664396799E-2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0.13920514596278311</v>
          </cell>
          <cell r="C5">
            <v>1.2028627611103246</v>
          </cell>
          <cell r="D5">
            <v>1.2012468494261463</v>
          </cell>
          <cell r="E5">
            <v>2.0055232869130191E-2</v>
          </cell>
        </row>
        <row r="12">
          <cell r="B12">
            <v>1.4976588400328694</v>
          </cell>
          <cell r="C12">
            <v>0.33732625099450675</v>
          </cell>
          <cell r="D12">
            <v>1.5378252262442138</v>
          </cell>
          <cell r="E12">
            <v>1.985991608904857</v>
          </cell>
        </row>
        <row r="19">
          <cell r="B19">
            <v>1.3280740866753387</v>
          </cell>
          <cell r="C19">
            <v>4.3847409383883615</v>
          </cell>
          <cell r="D19">
            <v>4.3847627332042052</v>
          </cell>
          <cell r="E19">
            <v>4.3847661262857534</v>
          </cell>
        </row>
        <row r="20">
          <cell r="B20">
            <v>5.6294618300527715</v>
          </cell>
          <cell r="C20">
            <v>6.3922909624357347</v>
          </cell>
          <cell r="D20">
            <v>5.9210631640321649</v>
          </cell>
          <cell r="E20">
            <v>6.9211513247449021</v>
          </cell>
        </row>
        <row r="21">
          <cell r="B21">
            <v>0</v>
          </cell>
          <cell r="C21">
            <v>4.5821181196408333E-3</v>
          </cell>
          <cell r="D21">
            <v>2.0712679602506927E-3</v>
          </cell>
          <cell r="E21">
            <v>6.7654722153275993E-3</v>
          </cell>
        </row>
        <row r="28">
          <cell r="B28">
            <v>5.0244558197298922E-3</v>
          </cell>
          <cell r="C28">
            <v>2.0506674049789439E-2</v>
          </cell>
          <cell r="D28">
            <v>2.1291578446892351E-2</v>
          </cell>
          <cell r="E28">
            <v>9.0407771843223725E-2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8.9002583468709602E-3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1.2891444077490366</v>
          </cell>
          <cell r="C38">
            <v>4.4599719775547415</v>
          </cell>
          <cell r="D38">
            <v>4.4599623871722374</v>
          </cell>
          <cell r="E38">
            <v>4.4608105388400263</v>
          </cell>
        </row>
        <row r="39">
          <cell r="B39">
            <v>1.176538351110521</v>
          </cell>
          <cell r="C39">
            <v>4.0703958725878522</v>
          </cell>
          <cell r="D39">
            <v>4.0703871199199924</v>
          </cell>
          <cell r="E39">
            <v>4.0711611860050017</v>
          </cell>
        </row>
      </sheetData>
      <sheetData sheetId="68">
        <row r="3">
          <cell r="B3">
            <v>48.063397652170998</v>
          </cell>
          <cell r="C3">
            <v>49.195533672950376</v>
          </cell>
          <cell r="D3">
            <v>51.968512321024363</v>
          </cell>
          <cell r="E3">
            <v>53.257031650831884</v>
          </cell>
        </row>
        <row r="6">
          <cell r="B6">
            <v>0</v>
          </cell>
          <cell r="C6">
            <v>2.084147841936673</v>
          </cell>
          <cell r="D6">
            <v>2.0840960164003799</v>
          </cell>
          <cell r="E6">
            <v>2.1606887510302721</v>
          </cell>
        </row>
        <row r="11">
          <cell r="B11">
            <v>60.070598110756912</v>
          </cell>
          <cell r="C11">
            <v>61.543511991580971</v>
          </cell>
          <cell r="D11">
            <v>64.989528642358223</v>
          </cell>
          <cell r="E11">
            <v>70.551150173109392</v>
          </cell>
        </row>
        <row r="18">
          <cell r="B18">
            <v>3.5601573608479287</v>
          </cell>
          <cell r="C18">
            <v>3.4647541095190793</v>
          </cell>
          <cell r="D18">
            <v>0.12899021100237884</v>
          </cell>
          <cell r="E18">
            <v>4.382933590500058E-3</v>
          </cell>
        </row>
        <row r="19">
          <cell r="B19">
            <v>12.729060467056971</v>
          </cell>
          <cell r="C19">
            <v>13.638637605412946</v>
          </cell>
          <cell r="D19">
            <v>13.954675063299224</v>
          </cell>
          <cell r="E19">
            <v>14.452189675714195</v>
          </cell>
        </row>
        <row r="21">
          <cell r="B21">
            <v>7.7981381713718525</v>
          </cell>
          <cell r="C21">
            <v>8.0809293328523033</v>
          </cell>
          <cell r="D21">
            <v>10.837298799724925</v>
          </cell>
          <cell r="E21">
            <v>11.462586022714868</v>
          </cell>
        </row>
        <row r="22">
          <cell r="B22">
            <v>6.8107582252723106E-2</v>
          </cell>
          <cell r="C22">
            <v>8.5601774398449418E-2</v>
          </cell>
          <cell r="D22">
            <v>0.10204303950376965</v>
          </cell>
          <cell r="E22">
            <v>2.3313497198267528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0.74902658226029528</v>
          </cell>
          <cell r="C24">
            <v>0.94984297592340505</v>
          </cell>
          <cell r="D24">
            <v>1.7980430544477612</v>
          </cell>
          <cell r="E24">
            <v>4.2220673089439389</v>
          </cell>
        </row>
        <row r="33">
          <cell r="B33">
            <v>12.00720045858591</v>
          </cell>
          <cell r="C33">
            <v>12.710150421713685</v>
          </cell>
          <cell r="D33">
            <v>13.383179962830264</v>
          </cell>
          <cell r="E33">
            <v>17.672794798769623</v>
          </cell>
        </row>
        <row r="34">
          <cell r="B34">
            <v>8.8980668457453493</v>
          </cell>
          <cell r="C34">
            <v>8.1218811327210911</v>
          </cell>
          <cell r="D34">
            <v>8.2563635840967429</v>
          </cell>
          <cell r="E34">
            <v>6.4690434250351396</v>
          </cell>
        </row>
        <row r="35">
          <cell r="B35">
            <v>2.7301536321320046</v>
          </cell>
          <cell r="C35">
            <v>2.7181992097309959</v>
          </cell>
          <cell r="D35">
            <v>4.7469976974586547E-2</v>
          </cell>
          <cell r="E35">
            <v>4.5444010651676508E-3</v>
          </cell>
        </row>
        <row r="36">
          <cell r="B36">
            <v>0</v>
          </cell>
          <cell r="C36">
            <v>0</v>
          </cell>
          <cell r="D36">
            <v>9.5850474839326251E-4</v>
          </cell>
          <cell r="E36">
            <v>0.2156609589686147</v>
          </cell>
        </row>
        <row r="37">
          <cell r="B37">
            <v>35.25330344369997</v>
          </cell>
          <cell r="C37">
            <v>31.928365904344549</v>
          </cell>
          <cell r="D37">
            <v>32.590128059217399</v>
          </cell>
          <cell r="E37">
            <v>20.588419595815022</v>
          </cell>
        </row>
        <row r="38">
          <cell r="B38">
            <v>0.29917750452568143</v>
          </cell>
          <cell r="C38">
            <v>3.3487248932358611E-3</v>
          </cell>
          <cell r="D38">
            <v>2.2793491910112467</v>
          </cell>
          <cell r="E38">
            <v>2.3526540282113944</v>
          </cell>
        </row>
        <row r="39">
          <cell r="B39">
            <v>0.43687091603376721</v>
          </cell>
          <cell r="C39">
            <v>0.55213811081003705</v>
          </cell>
          <cell r="D39">
            <v>1.6042881164276321</v>
          </cell>
          <cell r="E39">
            <v>3.1475976994673842</v>
          </cell>
        </row>
        <row r="55">
          <cell r="B55">
            <v>9.8141619496138333</v>
          </cell>
          <cell r="C55">
            <v>10.335130020858854</v>
          </cell>
          <cell r="D55">
            <v>10.597154447882525</v>
          </cell>
          <cell r="E55">
            <v>13.317086969426741</v>
          </cell>
        </row>
        <row r="56">
          <cell r="B56">
            <v>1.1089658977082459</v>
          </cell>
          <cell r="C56">
            <v>1.4009596081921354</v>
          </cell>
          <cell r="D56">
            <v>2.5872197533277985</v>
          </cell>
          <cell r="E56">
            <v>6.1196187278782199</v>
          </cell>
        </row>
        <row r="57">
          <cell r="B57">
            <v>6.91791002273958</v>
          </cell>
          <cell r="C57">
            <v>6.3246703469299703</v>
          </cell>
          <cell r="D57">
            <v>6.4457194252637864</v>
          </cell>
          <cell r="E57">
            <v>5.2391430723309336</v>
          </cell>
        </row>
        <row r="58">
          <cell r="B58">
            <v>1.8459251245252504</v>
          </cell>
          <cell r="C58">
            <v>1.8457931733678312</v>
          </cell>
          <cell r="D58">
            <v>3.244276238856901E-2</v>
          </cell>
          <cell r="E58">
            <v>3.1390450357645489E-3</v>
          </cell>
        </row>
        <row r="59">
          <cell r="B59">
            <v>28.61986559200254</v>
          </cell>
          <cell r="C59">
            <v>25.727636490005015</v>
          </cell>
          <cell r="D59">
            <v>28.100348063994108</v>
          </cell>
          <cell r="E59">
            <v>18.537435265853812</v>
          </cell>
        </row>
        <row r="60">
          <cell r="B60">
            <v>0</v>
          </cell>
          <cell r="C60">
            <v>0</v>
          </cell>
          <cell r="D60">
            <v>7.2732520008101903E-2</v>
          </cell>
          <cell r="E60">
            <v>2.6222601149550204E-2</v>
          </cell>
        </row>
        <row r="61">
          <cell r="B61">
            <v>2.3675046449638706</v>
          </cell>
          <cell r="C61">
            <v>2.307526236939708</v>
          </cell>
          <cell r="D61">
            <v>8.6100965844087857E-2</v>
          </cell>
          <cell r="E61">
            <v>2.9365655056350394E-3</v>
          </cell>
        </row>
        <row r="62">
          <cell r="B62">
            <v>5.185249597601489</v>
          </cell>
          <cell r="C62">
            <v>5.5677090452185043</v>
          </cell>
          <cell r="D62">
            <v>5.8793007002002549</v>
          </cell>
          <cell r="E62">
            <v>6.375406323532256</v>
          </cell>
        </row>
        <row r="63">
          <cell r="B63">
            <v>6.5824646464109744</v>
          </cell>
          <cell r="C63">
            <v>7.0678935623555006</v>
          </cell>
          <cell r="D63">
            <v>7.0905443365677856</v>
          </cell>
          <cell r="E63">
            <v>7.1283840021187768</v>
          </cell>
        </row>
        <row r="64">
          <cell r="B64">
            <v>5.3112538801372393</v>
          </cell>
          <cell r="C64">
            <v>6.2669954666482779</v>
          </cell>
          <cell r="D64">
            <v>6.0030768912076287</v>
          </cell>
          <cell r="E64">
            <v>7.0120500285676695</v>
          </cell>
        </row>
        <row r="65">
          <cell r="B65">
            <v>0.46159904975162597</v>
          </cell>
          <cell r="C65">
            <v>0.5446111002284405</v>
          </cell>
          <cell r="D65">
            <v>0.57530150914458866</v>
          </cell>
          <cell r="E65">
            <v>0.59338116082553971</v>
          </cell>
        </row>
        <row r="66">
          <cell r="B66">
            <v>4.1174169544843391</v>
          </cell>
          <cell r="C66">
            <v>4.2667306877460165</v>
          </cell>
          <cell r="D66">
            <v>5.7220937662547611</v>
          </cell>
          <cell r="E66">
            <v>6.0522454199934543</v>
          </cell>
        </row>
        <row r="67">
          <cell r="B67">
            <v>6.8107582252723106E-2</v>
          </cell>
          <cell r="C67">
            <v>8.5601774398449418E-2</v>
          </cell>
          <cell r="D67">
            <v>0.10204303950376965</v>
          </cell>
          <cell r="E67">
            <v>2.3313497198267528</v>
          </cell>
        </row>
        <row r="68">
          <cell r="B68">
            <v>0.31061522130000835</v>
          </cell>
          <cell r="C68">
            <v>0.39257019678593641</v>
          </cell>
          <cell r="D68">
            <v>1.1406488507800474</v>
          </cell>
          <cell r="E68">
            <v>2.2379419643213079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1.7219299153213108</v>
          </cell>
          <cell r="D70">
            <v>1.7218870968899473</v>
          </cell>
          <cell r="E70">
            <v>1.7823025050266428</v>
          </cell>
        </row>
        <row r="71">
          <cell r="B71">
            <v>72.711040163491731</v>
          </cell>
          <cell r="C71">
            <v>73.85575762499596</v>
          </cell>
          <cell r="D71">
            <v>76.156614129257775</v>
          </cell>
          <cell r="E71">
            <v>76.758643371393063</v>
          </cell>
        </row>
      </sheetData>
      <sheetData sheetId="69">
        <row r="3">
          <cell r="B3">
            <v>56.994774574912441</v>
          </cell>
          <cell r="C3">
            <v>58.701922753786299</v>
          </cell>
          <cell r="D3">
            <v>58.471789067168487</v>
          </cell>
          <cell r="E3">
            <v>55.20037694239582</v>
          </cell>
        </row>
        <row r="6">
          <cell r="B6">
            <v>0</v>
          </cell>
          <cell r="C6">
            <v>9.1196048512748433</v>
          </cell>
          <cell r="D6">
            <v>2.3236179549947895</v>
          </cell>
          <cell r="E6">
            <v>4.6907855027135685</v>
          </cell>
        </row>
        <row r="11">
          <cell r="B11">
            <v>60.950448759542525</v>
          </cell>
          <cell r="C11">
            <v>60.772458648175679</v>
          </cell>
          <cell r="D11">
            <v>61.257814825617999</v>
          </cell>
          <cell r="E11">
            <v>58.408792766706213</v>
          </cell>
        </row>
        <row r="12">
          <cell r="B12">
            <v>30.256679168903222</v>
          </cell>
          <cell r="C12">
            <v>25.799210065042509</v>
          </cell>
          <cell r="D12">
            <v>26.113314941272144</v>
          </cell>
          <cell r="E12">
            <v>15.481939363223526</v>
          </cell>
        </row>
        <row r="13">
          <cell r="B13">
            <v>0</v>
          </cell>
          <cell r="C13">
            <v>0</v>
          </cell>
          <cell r="D13">
            <v>9.3725615617091672E-4</v>
          </cell>
          <cell r="E13">
            <v>7.3603991702199485E-3</v>
          </cell>
        </row>
        <row r="14">
          <cell r="B14">
            <v>25.270451645074157</v>
          </cell>
          <cell r="C14">
            <v>25.064134787876768</v>
          </cell>
          <cell r="D14">
            <v>23.281682762432812</v>
          </cell>
          <cell r="E14">
            <v>19.366832890143371</v>
          </cell>
        </row>
        <row r="15">
          <cell r="B15">
            <v>0.27832276030007902</v>
          </cell>
          <cell r="C15">
            <v>1.6821242980812217</v>
          </cell>
          <cell r="D15">
            <v>0.68853005535634126</v>
          </cell>
          <cell r="E15">
            <v>0.71781877012478923</v>
          </cell>
        </row>
        <row r="16">
          <cell r="B16">
            <v>1.402382058800276</v>
          </cell>
          <cell r="C16">
            <v>1.5373125554946594</v>
          </cell>
          <cell r="D16">
            <v>0</v>
          </cell>
          <cell r="E16">
            <v>0</v>
          </cell>
        </row>
        <row r="17">
          <cell r="B17">
            <v>7.7270878126393789</v>
          </cell>
          <cell r="C17">
            <v>8.3699013825085071</v>
          </cell>
          <cell r="D17">
            <v>5.9482898181497221</v>
          </cell>
          <cell r="E17">
            <v>7.6471325057742057</v>
          </cell>
        </row>
        <row r="19">
          <cell r="B19">
            <v>0.62710016377056388</v>
          </cell>
          <cell r="C19">
            <v>0.68752506511414369</v>
          </cell>
          <cell r="D19">
            <v>0.55479707708111603</v>
          </cell>
          <cell r="E19">
            <v>0.60815181420141473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3.5412022876040387E-2</v>
          </cell>
        </row>
        <row r="21">
          <cell r="B21">
            <v>2.9299367761031867</v>
          </cell>
          <cell r="C21">
            <v>3.1925912129975891</v>
          </cell>
          <cell r="D21">
            <v>4.1953496469739653</v>
          </cell>
          <cell r="E21">
            <v>8.9002948089577618</v>
          </cell>
        </row>
        <row r="28">
          <cell r="B28">
            <v>3.955674184630082</v>
          </cell>
          <cell r="C28">
            <v>2.0705358943893781</v>
          </cell>
          <cell r="D28">
            <v>2.7860257584495063</v>
          </cell>
          <cell r="E28">
            <v>3.208415824310404</v>
          </cell>
        </row>
        <row r="47">
          <cell r="B47">
            <v>4.2617262197864543</v>
          </cell>
          <cell r="C47">
            <v>4.6178551473715137</v>
          </cell>
          <cell r="D47">
            <v>4.7411865930509869</v>
          </cell>
          <cell r="E47">
            <v>8.1724895490911926</v>
          </cell>
        </row>
        <row r="48">
          <cell r="B48">
            <v>24.84310667054552</v>
          </cell>
          <cell r="C48">
            <v>21.225121811907183</v>
          </cell>
          <cell r="D48">
            <v>20.675718559819455</v>
          </cell>
          <cell r="E48">
            <v>12.681970222599137</v>
          </cell>
        </row>
        <row r="49">
          <cell r="B49">
            <v>24.189797043386285</v>
          </cell>
          <cell r="C49">
            <v>25.32358573032193</v>
          </cell>
          <cell r="D49">
            <v>19.399026731304602</v>
          </cell>
          <cell r="E49">
            <v>14.580020031693589</v>
          </cell>
        </row>
        <row r="50">
          <cell r="B50">
            <v>0</v>
          </cell>
          <cell r="C50">
            <v>0</v>
          </cell>
          <cell r="D50">
            <v>2.3718667742634878</v>
          </cell>
          <cell r="E50">
            <v>6.621999952675254</v>
          </cell>
        </row>
        <row r="51">
          <cell r="B51">
            <v>2.0958461194879741</v>
          </cell>
          <cell r="C51">
            <v>2.270220433417883</v>
          </cell>
          <cell r="D51">
            <v>0</v>
          </cell>
          <cell r="E51">
            <v>0</v>
          </cell>
        </row>
        <row r="52">
          <cell r="B52">
            <v>5.553970815025008</v>
          </cell>
          <cell r="C52">
            <v>6.0159819352655468</v>
          </cell>
          <cell r="D52">
            <v>4.8845488682816356</v>
          </cell>
          <cell r="E52">
            <v>6.306409427354704</v>
          </cell>
        </row>
        <row r="53">
          <cell r="B53">
            <v>6.1736155374772199</v>
          </cell>
          <cell r="C53">
            <v>5.2279712568500267</v>
          </cell>
          <cell r="D53">
            <v>6.7954740716128024</v>
          </cell>
          <cell r="E53">
            <v>6.5084223188485115</v>
          </cell>
        </row>
        <row r="54">
          <cell r="B54">
            <v>1.8771506481142195</v>
          </cell>
          <cell r="C54">
            <v>2.1601257705803349</v>
          </cell>
          <cell r="D54">
            <v>0.36389940041924101</v>
          </cell>
          <cell r="E54">
            <v>0.47075826318942304</v>
          </cell>
        </row>
        <row r="55">
          <cell r="B55">
            <v>0.62710016377056388</v>
          </cell>
          <cell r="C55">
            <v>0.68752506511414369</v>
          </cell>
          <cell r="D55">
            <v>0.55479707708111603</v>
          </cell>
          <cell r="E55">
            <v>0.60815181420141473</v>
          </cell>
        </row>
        <row r="56">
          <cell r="B56">
            <v>1.2231576316855999</v>
          </cell>
          <cell r="C56">
            <v>1.3408440109024429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9.1196048512748433</v>
          </cell>
          <cell r="D58">
            <v>2.3236179549947895</v>
          </cell>
          <cell r="E58">
            <v>4.6907855027135685</v>
          </cell>
        </row>
        <row r="59">
          <cell r="B59">
            <v>73.239765675392817</v>
          </cell>
          <cell r="C59">
            <v>78.579259856419995</v>
          </cell>
          <cell r="D59">
            <v>62.63212379098114</v>
          </cell>
          <cell r="E59">
            <v>60.945023171262029</v>
          </cell>
        </row>
      </sheetData>
      <sheetData sheetId="70">
        <row r="3">
          <cell r="B3">
            <v>44.576954446539794</v>
          </cell>
          <cell r="C3">
            <v>44.86121202262008</v>
          </cell>
          <cell r="D3">
            <v>49.523434351803729</v>
          </cell>
          <cell r="E3">
            <v>46.920120795952762</v>
          </cell>
        </row>
        <row r="10">
          <cell r="B10">
            <v>0.4364136051451632</v>
          </cell>
          <cell r="C10">
            <v>6.6797076655323089</v>
          </cell>
          <cell r="D10">
            <v>5.1815994781206678</v>
          </cell>
          <cell r="E10">
            <v>10.575557659759664</v>
          </cell>
        </row>
        <row r="15">
          <cell r="B15">
            <v>69.47152815723193</v>
          </cell>
          <cell r="C15">
            <v>70.027173866662793</v>
          </cell>
          <cell r="D15">
            <v>69.810715902254827</v>
          </cell>
          <cell r="E15">
            <v>67.72791955081351</v>
          </cell>
        </row>
        <row r="16">
          <cell r="B16">
            <v>60.232445624915954</v>
          </cell>
          <cell r="C16">
            <v>51.320629800815716</v>
          </cell>
          <cell r="D16">
            <v>49.44595041940957</v>
          </cell>
          <cell r="E16">
            <v>24.330288031316716</v>
          </cell>
        </row>
        <row r="17">
          <cell r="B17">
            <v>0</v>
          </cell>
          <cell r="C17">
            <v>0</v>
          </cell>
          <cell r="D17">
            <v>9.3841672870306422E-4</v>
          </cell>
          <cell r="E17">
            <v>7.4030378697324548E-3</v>
          </cell>
        </row>
        <row r="18">
          <cell r="B18">
            <v>46.704322034994128</v>
          </cell>
          <cell r="C18">
            <v>45.938221712672899</v>
          </cell>
          <cell r="D18">
            <v>46.20998776189316</v>
          </cell>
          <cell r="E18">
            <v>38.100277450168925</v>
          </cell>
        </row>
        <row r="19">
          <cell r="B19">
            <v>0.29810464153124322</v>
          </cell>
          <cell r="C19">
            <v>2.2366795721130726</v>
          </cell>
          <cell r="D19">
            <v>0.86316503852493776</v>
          </cell>
          <cell r="E19">
            <v>0.95940903505680564</v>
          </cell>
        </row>
        <row r="20">
          <cell r="B20">
            <v>0.10003085333320115</v>
          </cell>
          <cell r="C20">
            <v>0.10001193872413756</v>
          </cell>
          <cell r="D20">
            <v>2.6970780686892657E-2</v>
          </cell>
          <cell r="E20">
            <v>2.3790407355146724E-4</v>
          </cell>
        </row>
        <row r="21">
          <cell r="B21">
            <v>8.1291150788064428</v>
          </cell>
          <cell r="C21">
            <v>9.7142870061617934</v>
          </cell>
          <cell r="D21">
            <v>8.3981523541129501</v>
          </cell>
          <cell r="E21">
            <v>11.104482969678028</v>
          </cell>
        </row>
        <row r="22">
          <cell r="B22">
            <v>16.992038199477904</v>
          </cell>
          <cell r="C22">
            <v>19.036801938374481</v>
          </cell>
          <cell r="D22">
            <v>17.555449899120035</v>
          </cell>
          <cell r="E22">
            <v>15.766141199350953</v>
          </cell>
        </row>
        <row r="23">
          <cell r="B23">
            <v>2.5069286589027415</v>
          </cell>
          <cell r="C23">
            <v>2.9289323022695024</v>
          </cell>
          <cell r="D23">
            <v>0.96444923400382954</v>
          </cell>
          <cell r="E23">
            <v>1.0950024147449815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4.2148526458665542E-2</v>
          </cell>
        </row>
        <row r="25">
          <cell r="B25">
            <v>15.195876644410834</v>
          </cell>
          <cell r="C25">
            <v>17.649511819360285</v>
          </cell>
          <cell r="D25">
            <v>26.405381726215662</v>
          </cell>
          <cell r="E25">
            <v>41.295065469658269</v>
          </cell>
        </row>
        <row r="26">
          <cell r="B26">
            <v>219.63038989360444</v>
          </cell>
          <cell r="C26">
            <v>218.95224995715466</v>
          </cell>
          <cell r="D26">
            <v>219.68116153295054</v>
          </cell>
          <cell r="E26">
            <v>200.42837558919013</v>
          </cell>
        </row>
        <row r="102">
          <cell r="B102">
            <v>8.9085674897203564</v>
          </cell>
          <cell r="C102">
            <v>7.8759061819298264</v>
          </cell>
          <cell r="D102">
            <v>0.82943084241698029</v>
          </cell>
          <cell r="E102">
            <v>0.21068725652402101</v>
          </cell>
        </row>
        <row r="104">
          <cell r="B104">
            <v>19.061212942335672</v>
          </cell>
          <cell r="C104">
            <v>22.090516163321695</v>
          </cell>
          <cell r="D104">
            <v>31.885182920070701</v>
          </cell>
          <cell r="E104">
            <v>41.798179508858659</v>
          </cell>
        </row>
        <row r="105">
          <cell r="B105">
            <v>45.124732449375429</v>
          </cell>
          <cell r="C105">
            <v>38.635311529864616</v>
          </cell>
          <cell r="D105">
            <v>34.597407280433458</v>
          </cell>
          <cell r="E105">
            <v>17.724732600971546</v>
          </cell>
        </row>
        <row r="106">
          <cell r="B106">
            <v>36.570240194623402</v>
          </cell>
          <cell r="C106">
            <v>39.169535469418108</v>
          </cell>
          <cell r="D106">
            <v>31.695714547827524</v>
          </cell>
          <cell r="E106">
            <v>22.816436145620465</v>
          </cell>
        </row>
        <row r="107">
          <cell r="B107">
            <v>0</v>
          </cell>
          <cell r="C107">
            <v>0</v>
          </cell>
          <cell r="D107">
            <v>5.1526365449174509</v>
          </cell>
          <cell r="E107">
            <v>13.691182211951618</v>
          </cell>
        </row>
        <row r="108">
          <cell r="B108">
            <v>7.2022214399904735E-2</v>
          </cell>
          <cell r="C108">
            <v>7.2008595881379006E-2</v>
          </cell>
          <cell r="D108">
            <v>2.1557763122038238E-2</v>
          </cell>
          <cell r="E108">
            <v>1.9032325884117376E-4</v>
          </cell>
        </row>
        <row r="109">
          <cell r="B109">
            <v>9.0200977587860984E-2</v>
          </cell>
          <cell r="C109">
            <v>4.6584744819928164E-2</v>
          </cell>
          <cell r="D109">
            <v>0</v>
          </cell>
          <cell r="E109">
            <v>0</v>
          </cell>
        </row>
        <row r="110">
          <cell r="B110">
            <v>6.2637949234016475</v>
          </cell>
          <cell r="C110">
            <v>7.6939003306302602</v>
          </cell>
          <cell r="D110">
            <v>5.9165475947607744</v>
          </cell>
          <cell r="E110">
            <v>7.5774800703476881</v>
          </cell>
        </row>
        <row r="111">
          <cell r="B111">
            <v>9.1312798097288201</v>
          </cell>
          <cell r="C111">
            <v>10.087236125273765</v>
          </cell>
          <cell r="D111">
            <v>10.23846304949334</v>
          </cell>
          <cell r="E111">
            <v>9.0203082549108444</v>
          </cell>
        </row>
        <row r="112">
          <cell r="B112">
            <v>2.6970513256776814</v>
          </cell>
          <cell r="C112">
            <v>3.1683493070209496</v>
          </cell>
          <cell r="D112">
            <v>0.32585701234233616</v>
          </cell>
          <cell r="E112">
            <v>0.39995686502393585</v>
          </cell>
        </row>
        <row r="113">
          <cell r="B113">
            <v>0.78544063424289079</v>
          </cell>
          <cell r="C113">
            <v>0.94185363396680555</v>
          </cell>
          <cell r="D113">
            <v>3.1977953162283961E-2</v>
          </cell>
          <cell r="E113">
            <v>3.4980842181890168E-2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129.14095656623883</v>
          </cell>
          <cell r="C116">
            <v>136.46090974765966</v>
          </cell>
          <cell r="D116">
            <v>125.87637498666756</v>
          </cell>
          <cell r="E116">
            <v>123.84969173940918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26.979980311465653</v>
          </cell>
          <cell r="C224">
            <v>25.937099835886766</v>
          </cell>
          <cell r="D224">
            <v>21.670516389651187</v>
          </cell>
          <cell r="E224">
            <v>22.093541016334871</v>
          </cell>
        </row>
        <row r="231">
          <cell r="B231">
            <v>15.553607660927103</v>
          </cell>
          <cell r="C231">
            <v>14.84466360948994</v>
          </cell>
          <cell r="D231">
            <v>3.6516543679875149</v>
          </cell>
          <cell r="E231">
            <v>2.2199978139951031</v>
          </cell>
        </row>
        <row r="233">
          <cell r="B233">
            <v>22.301567637547354</v>
          </cell>
          <cell r="C233">
            <v>25.72610995756764</v>
          </cell>
          <cell r="D233">
            <v>36.794075774576669</v>
          </cell>
          <cell r="E233">
            <v>49.257896734017287</v>
          </cell>
        </row>
        <row r="234">
          <cell r="B234">
            <v>52.109360427208046</v>
          </cell>
          <cell r="C234">
            <v>44.489778579503209</v>
          </cell>
          <cell r="D234">
            <v>39.081105205955573</v>
          </cell>
          <cell r="E234">
            <v>19.847898855426301</v>
          </cell>
        </row>
        <row r="235">
          <cell r="B235">
            <v>42.950817943104227</v>
          </cell>
          <cell r="C235">
            <v>44.405169202419124</v>
          </cell>
          <cell r="D235">
            <v>36.905605700022825</v>
          </cell>
          <cell r="E235">
            <v>26.257424429486932</v>
          </cell>
        </row>
        <row r="236">
          <cell r="B236">
            <v>0</v>
          </cell>
          <cell r="C236">
            <v>0</v>
          </cell>
          <cell r="D236">
            <v>6.2452722581479039</v>
          </cell>
          <cell r="E236">
            <v>16.9610461676948</v>
          </cell>
        </row>
        <row r="238">
          <cell r="B238">
            <v>0.1089030252440191</v>
          </cell>
          <cell r="C238">
            <v>5.5392049669652083E-2</v>
          </cell>
          <cell r="D238">
            <v>0</v>
          </cell>
          <cell r="E238">
            <v>0</v>
          </cell>
        </row>
        <row r="239">
          <cell r="B239">
            <v>7.5625146745457199</v>
          </cell>
          <cell r="C239">
            <v>9.148507970044971</v>
          </cell>
          <cell r="D239">
            <v>6.8747707520603534</v>
          </cell>
          <cell r="E239">
            <v>9.0460329873571368</v>
          </cell>
        </row>
        <row r="240">
          <cell r="B240">
            <v>9.6518538166657404</v>
          </cell>
          <cell r="C240">
            <v>10.684528363455302</v>
          </cell>
          <cell r="D240">
            <v>11.425725549501962</v>
          </cell>
          <cell r="E240">
            <v>10.179768208125033</v>
          </cell>
        </row>
        <row r="241">
          <cell r="B241">
            <v>2.8669472140144561</v>
          </cell>
          <cell r="C241">
            <v>3.3632112877133826</v>
          </cell>
          <cell r="D241">
            <v>0.40107529281940923</v>
          </cell>
          <cell r="E241">
            <v>0.50241716187796237</v>
          </cell>
        </row>
        <row r="242">
          <cell r="B242">
            <v>2.5069286589027415</v>
          </cell>
          <cell r="C242">
            <v>2.9289323022695024</v>
          </cell>
          <cell r="D242">
            <v>0.96444923400382954</v>
          </cell>
          <cell r="E242">
            <v>1.0950024147449815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0.4364136051451632</v>
          </cell>
          <cell r="C244">
            <v>6.6797076655323089</v>
          </cell>
          <cell r="D244">
            <v>5.1815994781206678</v>
          </cell>
          <cell r="E244">
            <v>10.575557659759664</v>
          </cell>
        </row>
        <row r="245">
          <cell r="B245">
            <v>156.12093687770451</v>
          </cell>
          <cell r="C245">
            <v>162.39800958354641</v>
          </cell>
          <cell r="D245">
            <v>147.54689137631874</v>
          </cell>
          <cell r="E245">
            <v>145.94323275574402</v>
          </cell>
        </row>
      </sheetData>
      <sheetData sheetId="71">
        <row r="21">
          <cell r="B21">
            <v>76.266534237297392</v>
          </cell>
          <cell r="C21">
            <v>74.537908842503711</v>
          </cell>
          <cell r="D21">
            <v>69.886763387355757</v>
          </cell>
          <cell r="E21">
            <v>40.479102103545735</v>
          </cell>
        </row>
        <row r="22">
          <cell r="B22">
            <v>120.10287752597347</v>
          </cell>
          <cell r="C22">
            <v>111.02970825596023</v>
          </cell>
          <cell r="D22">
            <v>94.079108247906248</v>
          </cell>
          <cell r="E22">
            <v>55.972025252828871</v>
          </cell>
        </row>
        <row r="23">
          <cell r="B23">
            <v>1.0930498859692612</v>
          </cell>
          <cell r="C23">
            <v>1.3833975723408114</v>
          </cell>
          <cell r="D23">
            <v>1.8013970296034241</v>
          </cell>
          <cell r="E23">
            <v>2.4097922752479088</v>
          </cell>
        </row>
        <row r="24">
          <cell r="B24">
            <v>0.270885092331351</v>
          </cell>
          <cell r="C24">
            <v>0.19194701310256884</v>
          </cell>
          <cell r="D24">
            <v>0.2629467393317852</v>
          </cell>
          <cell r="E24">
            <v>6.0296739582874938E-2</v>
          </cell>
        </row>
        <row r="25">
          <cell r="B25">
            <v>4.4166450089733109</v>
          </cell>
          <cell r="C25">
            <v>4.3173317604893189</v>
          </cell>
          <cell r="D25">
            <v>4.0481845897318376</v>
          </cell>
          <cell r="E25">
            <v>3.8830770826741863</v>
          </cell>
        </row>
        <row r="26">
          <cell r="B26">
            <v>2.9709603938165858</v>
          </cell>
          <cell r="C26">
            <v>2.9721740015845719</v>
          </cell>
          <cell r="D26">
            <v>4.4006224837199213</v>
          </cell>
          <cell r="E26">
            <v>2.9658931852739499</v>
          </cell>
        </row>
        <row r="27">
          <cell r="B27">
            <v>2.371466311112809E-2</v>
          </cell>
          <cell r="C27">
            <v>2.0742710294223751E-2</v>
          </cell>
          <cell r="D27">
            <v>2.7133667197563261E-2</v>
          </cell>
          <cell r="E27">
            <v>1.2115891048111295E-2</v>
          </cell>
        </row>
        <row r="28">
          <cell r="B28">
            <v>3.18368798889021E-5</v>
          </cell>
          <cell r="C28">
            <v>1.16612611637865E-3</v>
          </cell>
          <cell r="D28">
            <v>2.0389632265815898E-2</v>
          </cell>
          <cell r="E28">
            <v>0.14069932564142101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0.33398412994859022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80.684766342315768</v>
          </cell>
          <cell r="E11">
            <v>78.507305104824454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5.0111043833762494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2.6390782885561186</v>
          </cell>
          <cell r="C53">
            <v>2.3501419505059524</v>
          </cell>
          <cell r="D53">
            <v>2.3519227038231567</v>
          </cell>
          <cell r="E53">
            <v>2.3549342218346063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6.5106771036570681</v>
          </cell>
          <cell r="C55">
            <v>6.2606756884573871</v>
          </cell>
          <cell r="D55">
            <v>5.7153641632444092</v>
          </cell>
          <cell r="E55">
            <v>4.881655352714974</v>
          </cell>
        </row>
        <row r="56">
          <cell r="B56">
            <v>3.8057509330913097</v>
          </cell>
          <cell r="C56">
            <v>3.4442045735770996</v>
          </cell>
          <cell r="D56">
            <v>3.3593344913381098</v>
          </cell>
          <cell r="E56">
            <v>2.2581440813512401</v>
          </cell>
        </row>
        <row r="57">
          <cell r="B57">
            <v>7.2100943208689579</v>
          </cell>
          <cell r="C57">
            <v>6.4609055842147072</v>
          </cell>
          <cell r="D57">
            <v>6.3445985769164741</v>
          </cell>
          <cell r="E57">
            <v>3.981587075854168</v>
          </cell>
        </row>
        <row r="58">
          <cell r="B58">
            <v>14.625639279251208</v>
          </cell>
          <cell r="C58">
            <v>13.909256618885863</v>
          </cell>
          <cell r="D58">
            <v>12.377384340809217</v>
          </cell>
          <cell r="E58">
            <v>7.3773817950898968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17.776396661937351</v>
          </cell>
          <cell r="G99">
            <v>17.660545177461064</v>
          </cell>
          <cell r="H99">
            <v>17.010712491903483</v>
          </cell>
          <cell r="I99">
            <v>13.301195816739526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3.0311818513649221E-3</v>
          </cell>
          <cell r="J4">
            <v>0.48534764130091401</v>
          </cell>
          <cell r="K4">
            <v>4.2910889627204591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7.7862107743283202E-4</v>
          </cell>
          <cell r="J5">
            <v>2.3824061179781184E-2</v>
          </cell>
          <cell r="K5">
            <v>0.33895244752452292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3.624000766083409E-4</v>
          </cell>
          <cell r="J6">
            <v>7.7157995827899173E-2</v>
          </cell>
          <cell r="K6">
            <v>0.63442222174774765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3.6288630932943808E-4</v>
          </cell>
          <cell r="J7">
            <v>6.625366141034339E-2</v>
          </cell>
          <cell r="K7">
            <v>0.45692003590941832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3.5715034527416189E-4</v>
          </cell>
          <cell r="J8">
            <v>5.5113132975872281E-2</v>
          </cell>
          <cell r="K8">
            <v>0.34252027393443651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3.8799221567210597E-4</v>
          </cell>
          <cell r="J9">
            <v>9.3429814116353815E-2</v>
          </cell>
          <cell r="K9">
            <v>0.9478882517746956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4.1955084696068142E-4</v>
          </cell>
          <cell r="J10">
            <v>9.3094401364611321E-2</v>
          </cell>
          <cell r="K10">
            <v>0.94548007477255624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3.625809800873606E-4</v>
          </cell>
          <cell r="J11">
            <v>7.6474574426052891E-2</v>
          </cell>
          <cell r="K11">
            <v>0.62490565705708156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0.50562196531605619</v>
          </cell>
          <cell r="J12">
            <v>1.8059852326011767</v>
          </cell>
          <cell r="K12">
            <v>2.7089819124177756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0.50562196531605619</v>
          </cell>
          <cell r="J13">
            <v>1.8059852326011767</v>
          </cell>
          <cell r="K13">
            <v>2.7089819124177756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3.5072842085607403E-2</v>
          </cell>
          <cell r="J14">
            <v>5.4289064998023898E-2</v>
          </cell>
          <cell r="K14">
            <v>0.16968564926464599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5.1113034127099999E-2</v>
          </cell>
          <cell r="J15">
            <v>0.208687298292661</v>
          </cell>
          <cell r="K15">
            <v>0.31392394114385003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0.82768343453441562</v>
          </cell>
          <cell r="J16">
            <v>0.89880059420756198</v>
          </cell>
          <cell r="K16">
            <v>0.80448964563958236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0.82768343453441562</v>
          </cell>
          <cell r="J17">
            <v>0.89880059420756198</v>
          </cell>
          <cell r="K17">
            <v>0.80448964563958236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0.66673034699594524</v>
          </cell>
          <cell r="J18">
            <v>0.11615851234544446</v>
          </cell>
          <cell r="K18">
            <v>0.42404525605793547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1.0850979010509807</v>
          </cell>
          <cell r="J19">
            <v>0.13156207161118541</v>
          </cell>
          <cell r="K19">
            <v>0.46868159880087695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104.508709311955</v>
          </cell>
          <cell r="J20">
            <v>18.329092918482601</v>
          </cell>
          <cell r="K20">
            <v>91.548185474735504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1.8529912998573497</v>
          </cell>
          <cell r="J21">
            <v>0.32498391699437229</v>
          </cell>
          <cell r="K21">
            <v>1.623194777920842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2.5636116265224801E-2</v>
          </cell>
          <cell r="J22">
            <v>1.3169654352223101E-6</v>
          </cell>
          <cell r="K22">
            <v>1.1992894146932101E-2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2.7855889919537538E-2</v>
          </cell>
          <cell r="J23">
            <v>2.7626026227765357E-2</v>
          </cell>
          <cell r="K23">
            <v>3.2936369274640255E-2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5.1351763658463213E-4</v>
          </cell>
          <cell r="J24">
            <v>3.4270060615077983E-4</v>
          </cell>
          <cell r="K24">
            <v>2.6898280083927485E-4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5.1351763658463213E-4</v>
          </cell>
          <cell r="J25">
            <v>3.4270060615077983E-4</v>
          </cell>
          <cell r="K25">
            <v>2.6898280083927485E-4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2.4924241289457999E-6</v>
          </cell>
          <cell r="J26">
            <v>3.41094613130008E-6</v>
          </cell>
          <cell r="K26">
            <v>6.2935598219716696E-6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9.1355545804527871E-4</v>
          </cell>
          <cell r="J27">
            <v>9.0983007415901263E-4</v>
          </cell>
          <cell r="K27">
            <v>9.113690046100853E-4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0.42566057934035589</v>
          </cell>
          <cell r="J28">
            <v>0.69044575869902458</v>
          </cell>
          <cell r="K28">
            <v>0.92360415464682211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0.42566057934035528</v>
          </cell>
          <cell r="J29">
            <v>0.69044575869902403</v>
          </cell>
          <cell r="K29">
            <v>0.92360415464682133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0.47072532698955805</v>
          </cell>
          <cell r="J30">
            <v>0.76354117561247381</v>
          </cell>
          <cell r="K30">
            <v>1.0213828376673395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0.47072532698955805</v>
          </cell>
          <cell r="J31">
            <v>0.76354117561247381</v>
          </cell>
          <cell r="K31">
            <v>1.0213828376673395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7.8469446521473696E-2</v>
          </cell>
          <cell r="J32">
            <v>0.40983961934813701</v>
          </cell>
          <cell r="K32">
            <v>0.39302125198822002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0.22584274613560476</v>
          </cell>
          <cell r="J33">
            <v>0.50324762198942197</v>
          </cell>
          <cell r="K33">
            <v>0.61232789187937453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9.722212521836375E-2</v>
          </cell>
          <cell r="J34">
            <v>2.6936688642286249E-2</v>
          </cell>
          <cell r="K34">
            <v>1.0284632656313086E-4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9.7114100634787981E-2</v>
          </cell>
          <cell r="J35">
            <v>2.6936688642286259E-2</v>
          </cell>
          <cell r="K35">
            <v>1.0284632656313086E-4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0.10801601431357928</v>
          </cell>
          <cell r="J36">
            <v>2.8962566696799398E-2</v>
          </cell>
          <cell r="K36">
            <v>1.0284632656313086E-4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0.10801601431357928</v>
          </cell>
          <cell r="J37">
            <v>2.8962566696799398E-2</v>
          </cell>
          <cell r="K37">
            <v>1.0284632656313086E-4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2.5089255369862998E-4</v>
          </cell>
          <cell r="J38">
            <v>1.4643248682684601E-3</v>
          </cell>
          <cell r="K38">
            <v>4.6658145640002201E-5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9.5163713040809002E-3</v>
          </cell>
          <cell r="J39">
            <v>3.3250522522019037E-3</v>
          </cell>
          <cell r="K39">
            <v>1.1800755802999835E-3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2.4479337669169434E-3</v>
          </cell>
          <cell r="J40">
            <v>1.1553500403457852E-3</v>
          </cell>
          <cell r="K40">
            <v>0.31228535617089009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7.4361763792045595E-4</v>
          </cell>
          <cell r="J41">
            <v>2.8411259363817935E-4</v>
          </cell>
          <cell r="K41">
            <v>3.5490944903066946E-4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2.2882618124173856E-4</v>
          </cell>
          <cell r="J42">
            <v>1.3184355238268062E-4</v>
          </cell>
          <cell r="K42">
            <v>1.3022564016225248E-4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2.3437599316418744E-4</v>
          </cell>
          <cell r="J43">
            <v>1.3111998163549185E-4</v>
          </cell>
          <cell r="K43">
            <v>1.2962325385662115E-4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2.1719561289290849E-4</v>
          </cell>
          <cell r="J44">
            <v>1.2989233634532444E-4</v>
          </cell>
          <cell r="K44">
            <v>1.2854685054037682E-4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3.78028671279214E-4</v>
          </cell>
          <cell r="J45">
            <v>1.7301589557100637E-4</v>
          </cell>
          <cell r="K45">
            <v>0.15499548942855906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4.173911521312879E-4</v>
          </cell>
          <cell r="J46">
            <v>1.7356959068857996E-4</v>
          </cell>
          <cell r="K46">
            <v>0.15641637126043054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2.2849851828714987E-4</v>
          </cell>
          <cell r="J47">
            <v>1.3179609008452274E-4</v>
          </cell>
          <cell r="K47">
            <v>1.3019028831063245E-4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7.0116022840854102E-3</v>
          </cell>
          <cell r="K48">
            <v>0.55389861380866035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7.0824265495812149E-3</v>
          </cell>
          <cell r="K49">
            <v>0.55949354930167727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4.9838986529695897E-6</v>
          </cell>
          <cell r="J50">
            <v>1.37058744315459E-3</v>
          </cell>
          <cell r="K50">
            <v>5.6980401767510201E-2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6.6612960530094097E-6</v>
          </cell>
          <cell r="J51">
            <v>1.3772487392076E-3</v>
          </cell>
          <cell r="K51">
            <v>5.8357650506717797E-2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0.34751597739373563</v>
          </cell>
          <cell r="J52">
            <v>0.32485158087905669</v>
          </cell>
          <cell r="K52">
            <v>0.42525067835887553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0.34751597739373535</v>
          </cell>
          <cell r="J53">
            <v>0.32485158087905663</v>
          </cell>
          <cell r="K53">
            <v>0.42525067835887498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0.38430796267109019</v>
          </cell>
          <cell r="J54">
            <v>0.35924344460645841</v>
          </cell>
          <cell r="K54">
            <v>0.47027127209588848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0.38430796267109019</v>
          </cell>
          <cell r="J55">
            <v>0.35924344460645841</v>
          </cell>
          <cell r="K55">
            <v>0.47027127209588848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0.101903493700744</v>
          </cell>
          <cell r="J56">
            <v>0.143295449316509</v>
          </cell>
          <cell r="K56">
            <v>0.21765125429059201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0.1809844853541884</v>
          </cell>
          <cell r="J57">
            <v>0.25299384112246592</v>
          </cell>
          <cell r="K57">
            <v>0.30739699201873627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2.3652458816063859</v>
          </cell>
          <cell r="K58">
            <v>9.3307385272869361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607.22272771806604</v>
          </cell>
          <cell r="K59">
            <v>2395.4534893070809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-607.22272771806604</v>
          </cell>
          <cell r="K60">
            <v>-2395.45348930708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655.77924622559397</v>
          </cell>
          <cell r="K61">
            <v>2536.2801397109201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7.0665867050171807</v>
          </cell>
          <cell r="K62">
            <v>27.330604953781418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8.9479857914063599E-2</v>
          </cell>
          <cell r="K63">
            <v>0.28512566830980002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8.9479857914063599E-2</v>
          </cell>
          <cell r="K64">
            <v>0.37460546593875538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0.1869206477244158</v>
          </cell>
          <cell r="J65">
            <v>0.20169772465285521</v>
          </cell>
          <cell r="K65">
            <v>0.22874519195176798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6.1328301786164054</v>
          </cell>
          <cell r="J66">
            <v>6.5006486517238322</v>
          </cell>
          <cell r="K66">
            <v>6.0532185870643707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2.3374539101051286</v>
          </cell>
          <cell r="J67">
            <v>2.5418353107079708</v>
          </cell>
          <cell r="K67">
            <v>2.4705998350051752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2.3504168800437806</v>
          </cell>
          <cell r="J68">
            <v>2.1674634027505131</v>
          </cell>
          <cell r="K68">
            <v>3.9800192099113798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0.34782755385134323</v>
          </cell>
          <cell r="J69">
            <v>0.39602648048032141</v>
          </cell>
          <cell r="K69">
            <v>0.46028995741011158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12.431769139316003</v>
          </cell>
          <cell r="J70">
            <v>12.879488770995483</v>
          </cell>
          <cell r="K70">
            <v>14.285795984117952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1.04271369058984E-5</v>
          </cell>
          <cell r="J71">
            <v>2.21633077976633E-2</v>
          </cell>
          <cell r="K71">
            <v>9.7385618753761806E-7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0.627707018656666</v>
          </cell>
          <cell r="J72">
            <v>0.64987032645432996</v>
          </cell>
          <cell r="K72">
            <v>0.64987130031051699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3.6789741130474223E-3</v>
          </cell>
          <cell r="J73">
            <v>1.3846878402320481E-3</v>
          </cell>
          <cell r="K73">
            <v>3.0350388071225589E-4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3.6755958080767707E-3</v>
          </cell>
          <cell r="J74">
            <v>1.3846878402320531E-3</v>
          </cell>
          <cell r="K74">
            <v>3.0350388071225621E-4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4.4680352382232297E-3</v>
          </cell>
          <cell r="J75">
            <v>1.6377016161089231E-3</v>
          </cell>
          <cell r="K75">
            <v>2.5630923412327716E-4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4.4680352382232297E-3</v>
          </cell>
          <cell r="J76">
            <v>1.6377016161089231E-3</v>
          </cell>
          <cell r="K76">
            <v>2.5630923412327716E-4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3.4552615288569299E-3</v>
          </cell>
          <cell r="J77">
            <v>9.4201462221814793E-5</v>
          </cell>
          <cell r="K77">
            <v>2.66131362911353E-5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4.7132695878213619E-3</v>
          </cell>
          <cell r="J78">
            <v>3.5552271701909549E-3</v>
          </cell>
          <cell r="K78">
            <v>1.5245661620606516E-3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1.0695408971988646E-2</v>
          </cell>
          <cell r="J79">
            <v>1.0605985229312399E-2</v>
          </cell>
          <cell r="K79">
            <v>3.7544646946590862E-3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4.0454810661595779E-3</v>
          </cell>
          <cell r="J80">
            <v>4.098115140550522E-3</v>
          </cell>
          <cell r="K80">
            <v>1.5106586360518906E-3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1.811912650350006E-2</v>
          </cell>
          <cell r="J81">
            <v>1.6805747885549949E-2</v>
          </cell>
          <cell r="K81">
            <v>6.2668793914649234E-3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2.4391048377359E-4</v>
          </cell>
          <cell r="J82">
            <v>4.1325511653583598E-5</v>
          </cell>
          <cell r="K82">
            <v>1.2936201712295201E-6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3.599548270978943E-4</v>
          </cell>
          <cell r="J83">
            <v>3.6438933570289144E-4</v>
          </cell>
          <cell r="K83">
            <v>1.3434257288488091E-4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4.6511613424303957E-3</v>
          </cell>
          <cell r="J84">
            <v>5.0060000689233861E-4</v>
          </cell>
          <cell r="K84">
            <v>8.3625798899730668E-6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0.43116265644329799</v>
          </cell>
          <cell r="J85">
            <v>4.6405620638919703E-2</v>
          </cell>
          <cell r="K85">
            <v>7.7521115580050297E-4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4.6511613424303957E-3</v>
          </cell>
          <cell r="J86">
            <v>5.0060000689233861E-4</v>
          </cell>
          <cell r="K86">
            <v>8.3625798899730668E-6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1.5817795919977225E-2</v>
          </cell>
          <cell r="J87">
            <v>1.0702493659220267E-2</v>
          </cell>
          <cell r="K87">
            <v>1.4869359425714684E-2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1.5803270854853321E-2</v>
          </cell>
          <cell r="J88">
            <v>1.0702493659220295E-2</v>
          </cell>
          <cell r="K88">
            <v>1.4869359425714702E-2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1.9181758381233635E-2</v>
          </cell>
          <cell r="J89">
            <v>1.2599826109027325E-2</v>
          </cell>
          <cell r="K89">
            <v>1.6530306438688792E-2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1.9181758381233635E-2</v>
          </cell>
          <cell r="J90">
            <v>1.2599826109027325E-2</v>
          </cell>
          <cell r="K90">
            <v>1.6530306438688792E-2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1.0441461067695E-2</v>
          </cell>
          <cell r="J91">
            <v>5.7467299357043201E-4</v>
          </cell>
          <cell r="K91">
            <v>2.4791273868734801E-3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1.185376363709917E-2</v>
          </cell>
          <cell r="J92">
            <v>1.1069722590367417E-2</v>
          </cell>
          <cell r="K92">
            <v>7.2755083825251175E-3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0.39564412165669843</v>
          </cell>
          <cell r="K93">
            <v>1.4943431126091675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677.34471273899305</v>
          </cell>
          <cell r="K94">
            <v>2285.5701177151172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-677.34471273899305</v>
          </cell>
          <cell r="K95">
            <v>-2285.57011771512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3.7121980601218976</v>
          </cell>
          <cell r="K96">
            <v>13.239879977717226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761.06147498763301</v>
          </cell>
          <cell r="K97">
            <v>2568.05631203946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8.2010934804701812</v>
          </cell>
          <cell r="K98">
            <v>27.673020603873471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4.06480654850652E-2</v>
          </cell>
          <cell r="K99">
            <v>4.0996645218528603E-2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4.06480654850652E-2</v>
          </cell>
          <cell r="K100">
            <v>8.1644650534713537E-2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7.4217428911196393E-5</v>
          </cell>
          <cell r="K102">
            <v>7.125450661935824E-2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2.6351689871474761E-5</v>
          </cell>
          <cell r="K103">
            <v>2.0521270726433657E-3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7.4985926832632548E-5</v>
          </cell>
          <cell r="K105">
            <v>7.1506867639899288E-2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>
            <v>9.0254772639446438E-6</v>
          </cell>
          <cell r="K106">
            <v>2.0229543951908709E-3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2.63264942467349E-6</v>
          </cell>
          <cell r="J107">
            <v>3.6643924722080201E-6</v>
          </cell>
          <cell r="K107">
            <v>6.0003742417267003E-6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1.0275223608327975</v>
          </cell>
          <cell r="J108">
            <v>1.0275260252252696</v>
          </cell>
          <cell r="K108">
            <v>0.72469671237329136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424.90349866626099</v>
          </cell>
          <cell r="J109">
            <v>225.271941427619</v>
          </cell>
          <cell r="K109">
            <v>9.2185163971936896E-4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5.6893548646473473</v>
          </cell>
          <cell r="J110">
            <v>3.0258743671664461</v>
          </cell>
          <cell r="K110">
            <v>0.23118895916324356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5.7653120578868551</v>
          </cell>
          <cell r="J111">
            <v>3.0566070750016188</v>
          </cell>
          <cell r="K111">
            <v>1.2508163361185459E-5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2.067701418034975E-2</v>
          </cell>
          <cell r="J112">
            <v>2.0680825507702248E-2</v>
          </cell>
          <cell r="K112">
            <v>0.23512469263941316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8.2811636856425608E-6</v>
          </cell>
          <cell r="J116">
            <v>4.9103036537597503E-6</v>
          </cell>
          <cell r="K116">
            <v>3.7273373905892001E-6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-3.9490823366374629E-6</v>
          </cell>
          <cell r="J117">
            <v>-2.1633407573367994E-6</v>
          </cell>
          <cell r="K117">
            <v>5.9533667528243318E-6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0.13787899173348456</v>
          </cell>
          <cell r="J118">
            <v>6.7554818304531264E-2</v>
          </cell>
          <cell r="K118">
            <v>6.887344544689447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0.13787899173348456</v>
          </cell>
          <cell r="J119">
            <v>6.7554818304531264E-2</v>
          </cell>
          <cell r="K119">
            <v>6.887344544689447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0.46501039983253001</v>
          </cell>
          <cell r="J120">
            <v>0.76048475351814104</v>
          </cell>
          <cell r="K120">
            <v>1.0783894984595099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1.5892568403771401E-2</v>
          </cell>
          <cell r="J121">
            <v>1.5891991075994261E-2</v>
          </cell>
          <cell r="K121">
            <v>1.1999657962922301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1.2798588149696024</v>
          </cell>
          <cell r="J122">
            <v>0.99159178321297758</v>
          </cell>
          <cell r="K122">
            <v>3.3700713052292478E-4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12.342963981975803</v>
          </cell>
          <cell r="J123">
            <v>9.3037780484706047</v>
          </cell>
          <cell r="K123">
            <v>2.9858831764331155E-3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2535.9351219318501</v>
          </cell>
          <cell r="J124">
            <v>1964.7576750319499</v>
          </cell>
          <cell r="K124">
            <v>0.66775194938580296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27.326887089782872</v>
          </cell>
          <cell r="J125">
            <v>21.171957705085635</v>
          </cell>
          <cell r="K125">
            <v>7.1956029028642579E-3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2.3380724564521201E-3</v>
          </cell>
          <cell r="J126">
            <v>4.3262207190124498E-3</v>
          </cell>
          <cell r="K126">
            <v>7.0324090136095097E-8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6.9926518875612284E-2</v>
          </cell>
          <cell r="J127">
            <v>5.417619575067139E-2</v>
          </cell>
          <cell r="K127">
            <v>1.0144310121346783E-4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1.1008953922420801</v>
          </cell>
          <cell r="J128">
            <v>0.25654557809053502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4.7239680484354946E-3</v>
          </cell>
          <cell r="J129">
            <v>1.2128173081034962E-3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1.0702925102219773E-2</v>
          </cell>
          <cell r="J130">
            <v>2.7235195690745164E-3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1.9519421848263906E-2</v>
          </cell>
          <cell r="J131">
            <v>4.5486804625981406E-3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4.194521828624826E-4</v>
          </cell>
          <cell r="J133">
            <v>1.39844458966705E-4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0.14352479794414894</v>
          </cell>
          <cell r="J134">
            <v>0.28947073210439261</v>
          </cell>
          <cell r="K134">
            <v>4.7466792737668982E-2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0.38179010290561871</v>
          </cell>
          <cell r="J135">
            <v>0.77002066668163671</v>
          </cell>
          <cell r="K135">
            <v>0.12626634521350363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0.53666939554356519</v>
          </cell>
          <cell r="J136">
            <v>1.0561718796497988</v>
          </cell>
          <cell r="K136">
            <v>0.16691185980451784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1.04684349770189E-2</v>
          </cell>
          <cell r="J137">
            <v>1.0887057620765E-2</v>
          </cell>
          <cell r="K137">
            <v>7.7487339556288297E-7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1.0650831779591502E-2</v>
          </cell>
          <cell r="J138">
            <v>2.1479914079825673E-2</v>
          </cell>
          <cell r="K138">
            <v>3.5226652511881791E-3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18.125871444879316</v>
          </cell>
          <cell r="J139">
            <v>8.8482874024139626</v>
          </cell>
          <cell r="K139">
            <v>6.506277262311233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18.125871444879316</v>
          </cell>
          <cell r="J140">
            <v>8.8482874024139626</v>
          </cell>
          <cell r="K140">
            <v>6.506277262311233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3.5419447238006198E-6</v>
          </cell>
          <cell r="J141">
            <v>5.2842677610225199E-6</v>
          </cell>
          <cell r="K141">
            <v>8.0297267186770606E-6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1.700008323130231</v>
          </cell>
          <cell r="J142">
            <v>1.1999988927779994</v>
          </cell>
          <cell r="K142">
            <v>1.1999991897962572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222.81575973802978</v>
          </cell>
          <cell r="K143">
            <v>351.71945039019766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-222.81575973803001</v>
          </cell>
          <cell r="K144">
            <v>-351.71945039019801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0.88779819436138885</v>
          </cell>
          <cell r="K145">
            <v>0.98917129656454983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0.17527963874269897</v>
          </cell>
          <cell r="K146">
            <v>0.29159763743549139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291.633133978525</v>
          </cell>
          <cell r="K147">
            <v>485.16492546450098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3.1425984264927345</v>
          </cell>
          <cell r="K148">
            <v>5.2280703175053969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1.76184619112063E-2</v>
          </cell>
          <cell r="K149">
            <v>1.16598123952738E-2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1.76184619112063E-2</v>
          </cell>
          <cell r="K150">
            <v>2.9278209196955771E-2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5.9881620398596356E-3</v>
          </cell>
          <cell r="J151">
            <v>6.3787757540046544E-3</v>
          </cell>
          <cell r="K151">
            <v>6.7340461968050484E-3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5.9881620398596356E-3</v>
          </cell>
          <cell r="J152">
            <v>6.3787757540046544E-3</v>
          </cell>
          <cell r="K152">
            <v>6.7340461968050484E-3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1.11560260690778E-7</v>
          </cell>
          <cell r="J153">
            <v>3.95846769999686E-8</v>
          </cell>
          <cell r="K153">
            <v>6.4904104906028994E-8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5.4943062297201995E-4</v>
          </cell>
          <cell r="J154">
            <v>5.4947020764901998E-4</v>
          </cell>
          <cell r="K154">
            <v>5.4953511175392597E-4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0.15377354528536932</v>
          </cell>
          <cell r="J155">
            <v>0.16816097814652631</v>
          </cell>
          <cell r="K155">
            <v>0.1968949313500912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7.6886772642684678</v>
          </cell>
          <cell r="J156">
            <v>8.4080489073263092</v>
          </cell>
          <cell r="K156">
            <v>9.8447465675045578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13.220131364676449</v>
          </cell>
          <cell r="J157">
            <v>14.457039521225639</v>
          </cell>
          <cell r="K157">
            <v>16.927338526640682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0.14630793005867099</v>
          </cell>
          <cell r="J158">
            <v>5.9110427490963201E-2</v>
          </cell>
          <cell r="K158">
            <v>0.17065473962499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0.29046193966053652</v>
          </cell>
          <cell r="J159">
            <v>0.31763700735615652</v>
          </cell>
          <cell r="K159">
            <v>0.37191160559073821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7.5236316959522593</v>
          </cell>
          <cell r="K160">
            <v>37.989051403192192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-7.5236316959522602</v>
          </cell>
          <cell r="K161">
            <v>-37.9890514031922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4.8562767341790783E-2</v>
          </cell>
          <cell r="K162">
            <v>0.24520783836628937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5.5002583501221787E-2</v>
          </cell>
          <cell r="K163">
            <v>0.27101918977326772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8.6029100295530707</v>
          </cell>
          <cell r="K164">
            <v>66.994254058746193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0.1525338657722177</v>
          </cell>
          <cell r="K165">
            <v>1.1878413840203224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7.4783955322632496E-3</v>
          </cell>
          <cell r="K166">
            <v>2.23906548344633E-2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7.4783955322632496E-3</v>
          </cell>
          <cell r="K167">
            <v>2.9868788307348609E-2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18.821384998641435</v>
          </cell>
          <cell r="J168">
            <v>40.476884784637036</v>
          </cell>
          <cell r="K168">
            <v>44.711664632859254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18.821384998641435</v>
          </cell>
          <cell r="J169">
            <v>40.476884784637036</v>
          </cell>
          <cell r="K169">
            <v>44.711664632859254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18.821384998641399</v>
          </cell>
          <cell r="J170">
            <v>40.4768847846371</v>
          </cell>
          <cell r="K170">
            <v>44.711664632859303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0.73176324932880199</v>
          </cell>
          <cell r="J171">
            <v>6.6501011516642397</v>
          </cell>
          <cell r="K171">
            <v>5.1187940435789301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5.4256604838437585</v>
          </cell>
          <cell r="J172">
            <v>11.66831130108419</v>
          </cell>
          <cell r="K172">
            <v>12.889074230548401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8.4069761723008423</v>
          </cell>
          <cell r="J173">
            <v>9.3340384082878813</v>
          </cell>
          <cell r="K173">
            <v>9.1278584853809015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9.1214567457618081</v>
          </cell>
          <cell r="J174">
            <v>10.120668631795308</v>
          </cell>
          <cell r="K174">
            <v>9.8841550763037471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3.5197598565781802E-7</v>
          </cell>
          <cell r="J175">
            <v>4.8225578645784401E-7</v>
          </cell>
          <cell r="K175">
            <v>4.1190683446759299E-7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0.84970105805176099</v>
          </cell>
          <cell r="J176">
            <v>0.84970154030754697</v>
          </cell>
          <cell r="K176">
            <v>0.84970195221438205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1.8500116140453798E-2</v>
          </cell>
          <cell r="J177">
            <v>1.9169352468401912E-2</v>
          </cell>
          <cell r="K177">
            <v>2.0462623252079939E-2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1.8500116140453798E-2</v>
          </cell>
          <cell r="J178">
            <v>1.9169352468401912E-2</v>
          </cell>
          <cell r="K178">
            <v>2.0462623252079939E-2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6.9964664788137596E-7</v>
          </cell>
          <cell r="J179">
            <v>1.44550264791288E-6</v>
          </cell>
          <cell r="K179">
            <v>1.9500504086949099E-6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1.2494087545450001E-3</v>
          </cell>
          <cell r="J180">
            <v>1.25085425719291E-3</v>
          </cell>
          <cell r="K180">
            <v>1.2528043076016099E-3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5.7456747603437212E-2</v>
          </cell>
          <cell r="J181">
            <v>6.4420544888882547E-2</v>
          </cell>
          <cell r="K181">
            <v>6.0269216932167934E-2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5.7456747603437212E-2</v>
          </cell>
          <cell r="J182">
            <v>6.4420544888882547E-2</v>
          </cell>
          <cell r="K182">
            <v>6.0269216932167934E-2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>
            <v>4.6801245416226E-8</v>
          </cell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5.0213667158564403E-3</v>
          </cell>
          <cell r="J184">
            <v>5.0213667158564403E-3</v>
          </cell>
          <cell r="K184">
            <v>5.0214135171018602E-3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5.8420581127175382</v>
          </cell>
          <cell r="J185">
            <v>5.6634318740551874</v>
          </cell>
          <cell r="K185">
            <v>5.3337894255655476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2.7617001987391947</v>
          </cell>
          <cell r="J186">
            <v>2.6772587040988087</v>
          </cell>
          <cell r="K186">
            <v>2.5214277284491629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7.9912749569616093</v>
          </cell>
          <cell r="J187">
            <v>7.5937474387663366</v>
          </cell>
          <cell r="K187">
            <v>6.8613200337696494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3.6799155891168403E-2</v>
          </cell>
          <cell r="J188">
            <v>4.1790133727290603E-2</v>
          </cell>
          <cell r="K188">
            <v>7.9569490852622202E-2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0.13764839674664123</v>
          </cell>
          <cell r="J189">
            <v>0.12753224107348032</v>
          </cell>
          <cell r="K189">
            <v>0.12546346591119606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0.47550544317174853</v>
          </cell>
          <cell r="J190">
            <v>2.1188818006929475</v>
          </cell>
          <cell r="K190">
            <v>6.9913915503289719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0.47550544317174853</v>
          </cell>
          <cell r="J191">
            <v>2.1188818006929475</v>
          </cell>
          <cell r="K191">
            <v>6.9913915503289719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6.6500610638213706E-2</v>
          </cell>
          <cell r="J192">
            <v>0.39672407608091698</v>
          </cell>
          <cell r="K192">
            <v>2.12597236688194E-6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3.3806880239942799E-2</v>
          </cell>
          <cell r="J193">
            <v>0.150635916936496</v>
          </cell>
          <cell r="K193">
            <v>0.49703279365649999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4.0376775238546082E-2</v>
          </cell>
          <cell r="J194">
            <v>3.6659655857123635E-2</v>
          </cell>
          <cell r="K194">
            <v>9.9365330272063263E-2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4.042168822546325E-2</v>
          </cell>
          <cell r="J195">
            <v>3.6659655857123573E-2</v>
          </cell>
          <cell r="K195">
            <v>9.9365330272063235E-2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4.4898966791388009E-2</v>
          </cell>
          <cell r="J196">
            <v>3.9411536048676733E-2</v>
          </cell>
          <cell r="K196">
            <v>0.10037116007012026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4.4898966791388009E-2</v>
          </cell>
          <cell r="J197">
            <v>3.9411536048676733E-2</v>
          </cell>
          <cell r="K197">
            <v>0.10037116007012026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3.7812647125540998E-3</v>
          </cell>
          <cell r="J198">
            <v>2.4076588343067401E-4</v>
          </cell>
          <cell r="K198">
            <v>4.4313940792492E-3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4.6382609762513462E-3</v>
          </cell>
          <cell r="J199">
            <v>4.0698363809195644E-3</v>
          </cell>
          <cell r="K199">
            <v>6.1823567155754374E-3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0.93204276672537567</v>
          </cell>
          <cell r="J200">
            <v>13.539731610934712</v>
          </cell>
          <cell r="K200">
            <v>14.956288973917129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0.93204276672537567</v>
          </cell>
          <cell r="J201">
            <v>13.539731610934712</v>
          </cell>
          <cell r="K201">
            <v>14.956288973917129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0.932042766725376</v>
          </cell>
          <cell r="J202">
            <v>13.5397316109347</v>
          </cell>
          <cell r="K202">
            <v>14.956288973917101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1.3182297998218399E-2</v>
          </cell>
          <cell r="J203">
            <v>3.6344369845106299</v>
          </cell>
          <cell r="K203">
            <v>0.66651821399784705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0.26868379272944698</v>
          </cell>
          <cell r="J204">
            <v>3.9031136789382099</v>
          </cell>
          <cell r="K204">
            <v>4.3114645205379798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>
            <v>6.20559560981562E-5</v>
          </cell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>
            <v>1.1002829095417767E-6</v>
          </cell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-1.445480674858949E-6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12.928143262015974</v>
          </cell>
          <cell r="J211">
            <v>13.652070251161856</v>
          </cell>
          <cell r="K211">
            <v>14.038997749523039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12.928143262015976</v>
          </cell>
          <cell r="J212">
            <v>13.652070251161856</v>
          </cell>
          <cell r="K212">
            <v>14.038997749523039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16.160176046198025</v>
          </cell>
          <cell r="J213">
            <v>17.06508596883241</v>
          </cell>
          <cell r="K213">
            <v>17.548745334749068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16.160176046198025</v>
          </cell>
          <cell r="J214">
            <v>17.06508596883241</v>
          </cell>
          <cell r="K214">
            <v>17.548745334749068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2.7791567749030849E-3</v>
          </cell>
          <cell r="J216">
            <v>1.3273031313502256E-3</v>
          </cell>
          <cell r="K216">
            <v>3.0345004139872557E-4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2.7766047484798547E-3</v>
          </cell>
          <cell r="J217">
            <v>1.327303131350231E-3</v>
          </cell>
          <cell r="K217">
            <v>3.0345004139872584E-4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3.3773478680195462E-3</v>
          </cell>
          <cell r="J218">
            <v>1.5701901938925753E-3</v>
          </cell>
          <cell r="K218">
            <v>2.5626465313668224E-4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3.3773478680195462E-3</v>
          </cell>
          <cell r="J219">
            <v>1.5701901938925753E-3</v>
          </cell>
          <cell r="K219">
            <v>2.5626465313668224E-4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3.48864501804545E-3</v>
          </cell>
          <cell r="J220">
            <v>8.6565156661656096E-5</v>
          </cell>
          <cell r="K220">
            <v>2.62339927854172E-5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4.6420519303081329E-3</v>
          </cell>
          <cell r="J221">
            <v>3.5872680943532555E-3</v>
          </cell>
          <cell r="K221">
            <v>1.5325638594335734E-3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3.2471137566342815E-3</v>
          </cell>
          <cell r="J222">
            <v>4.4141989486634848E-3</v>
          </cell>
          <cell r="K222">
            <v>8.1189179649043938E-4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1.5416342835396714E-3</v>
          </cell>
          <cell r="J223">
            <v>1.9843646649955141E-3</v>
          </cell>
          <cell r="K223">
            <v>3.2760546174175666E-4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0.3439196542238</v>
          </cell>
          <cell r="J224">
            <v>0.45680884532957899</v>
          </cell>
          <cell r="K224">
            <v>8.0334556705369806E-2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6.0978662096418468E-3</v>
          </cell>
          <cell r="J225">
            <v>8.0994476122265829E-3</v>
          </cell>
          <cell r="K225">
            <v>1.4243715727902447E-3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3.9685703267127701E-4</v>
          </cell>
          <cell r="J226">
            <v>2.04695514198868E-6</v>
          </cell>
          <cell r="K226">
            <v>3.2822352261226099E-6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3.9685703267127701E-4</v>
          </cell>
          <cell r="J227">
            <v>3.9870647725761377E-4</v>
          </cell>
          <cell r="K227">
            <v>1.723654940287404E-4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0.17676361642759922</v>
          </cell>
          <cell r="J228">
            <v>9.698908131159642E-2</v>
          </cell>
          <cell r="K228">
            <v>0.19143129163111411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0.17656721240934659</v>
          </cell>
          <cell r="J229">
            <v>9.6989081311596531E-2</v>
          </cell>
          <cell r="K229">
            <v>0.19143129163111411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0.19641773099550347</v>
          </cell>
          <cell r="J230">
            <v>0.10429799184184915</v>
          </cell>
          <cell r="K230">
            <v>0.19337359813972665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0.19641773099550347</v>
          </cell>
          <cell r="J231">
            <v>0.10429799184184915</v>
          </cell>
          <cell r="K231">
            <v>0.19337359813972665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4.0422515747740903E-2</v>
          </cell>
          <cell r="J232">
            <v>1.56378956588616E-4</v>
          </cell>
          <cell r="K232">
            <v>1.67769247816595E-2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4.2818526521058282E-2</v>
          </cell>
          <cell r="J233">
            <v>4.0862611536130661E-2</v>
          </cell>
          <cell r="K233">
            <v>3.3965546646564419E-2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1.7541545354254</v>
          </cell>
          <cell r="J234">
            <v>1.0918536281912099</v>
          </cell>
          <cell r="K234">
            <v>3.0234557092753401E-2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2.3403773546813323E-2</v>
          </cell>
          <cell r="J235">
            <v>1.4567413842051638E-2</v>
          </cell>
          <cell r="K235">
            <v>4.0338676735536311E-4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2.3801282705907662E-2</v>
          </cell>
          <cell r="J236">
            <v>1.4814838917112721E-2</v>
          </cell>
          <cell r="K236">
            <v>4.1023822378227141E-4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71.376584608977268</v>
          </cell>
          <cell r="J237">
            <v>71.347112557784129</v>
          </cell>
          <cell r="K237">
            <v>71.389462904366113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71.376584608977268</v>
          </cell>
          <cell r="J238">
            <v>71.347112557784129</v>
          </cell>
          <cell r="K238">
            <v>71.389462904366113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3.2847124645117324E-3</v>
          </cell>
          <cell r="J240">
            <v>1.776863561548871E-3</v>
          </cell>
          <cell r="K240">
            <v>2.0893265308868049E-3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3.2877315017033741E-3</v>
          </cell>
          <cell r="J241">
            <v>1.7768635615488648E-3</v>
          </cell>
          <cell r="K241">
            <v>2.0893265308868023E-3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3.9937966957394174E-3</v>
          </cell>
          <cell r="J242">
            <v>2.0990848176526116E-3</v>
          </cell>
          <cell r="K242">
            <v>2.330264378504014E-3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3.9937966957394174E-3</v>
          </cell>
          <cell r="J243">
            <v>2.0990848176526116E-3</v>
          </cell>
          <cell r="K243">
            <v>2.330264378504014E-3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3.7859576542317698E-3</v>
          </cell>
          <cell r="J244">
            <v>2.5525287956788199E-4</v>
          </cell>
          <cell r="K244">
            <v>5.3757051205579796E-4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4.6855933430847282E-3</v>
          </cell>
          <cell r="J245">
            <v>4.0758539844485374E-3</v>
          </cell>
          <cell r="K245">
            <v>2.3010440096472838E-3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1.2719962140785561</v>
          </cell>
          <cell r="J246">
            <v>3.5999982000138577</v>
          </cell>
          <cell r="K246">
            <v>4.1010591275894397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1.2719962140785561</v>
          </cell>
          <cell r="J247">
            <v>3.5999982000138577</v>
          </cell>
          <cell r="K247">
            <v>4.1010591275894397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1.2719962140785599</v>
          </cell>
          <cell r="J248">
            <v>3.59999820001386</v>
          </cell>
          <cell r="K248">
            <v>4.1010591275894397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0.43727340339138998</v>
          </cell>
          <cell r="J249">
            <v>7.7121136878089997E-7</v>
          </cell>
          <cell r="K249">
            <v>2.5578339094565499E-6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0.196603969624908</v>
          </cell>
          <cell r="J250">
            <v>0.556426787549818</v>
          </cell>
          <cell r="K250">
            <v>0.63387945699085302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4.50510758317806E-3</v>
          </cell>
          <cell r="J251">
            <v>2.7699503258047102E-3</v>
          </cell>
          <cell r="K251">
            <v>2.2972082887436412E-3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54.833040761004938</v>
          </cell>
          <cell r="J252">
            <v>51.334105366809091</v>
          </cell>
          <cell r="K252">
            <v>51.606441429388511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3.1522924755812217E-3</v>
          </cell>
          <cell r="J253">
            <v>2.3742943646094493E-3</v>
          </cell>
          <cell r="K253">
            <v>2.1476085105538631E-3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54.830598818840038</v>
          </cell>
          <cell r="J254">
            <v>23.318139348816352</v>
          </cell>
          <cell r="K254">
            <v>23.29061651012838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1.0062170415982835E-2</v>
          </cell>
          <cell r="J255">
            <v>28.02111026268312</v>
          </cell>
          <cell r="K255">
            <v>28.320231564326036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6.8744293012631902E-6</v>
          </cell>
          <cell r="J256">
            <v>5.4935685211158604E-6</v>
          </cell>
          <cell r="K256">
            <v>6.5248920651896298E-6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4.4927494567209303</v>
          </cell>
          <cell r="J257">
            <v>4.4927573207576046</v>
          </cell>
          <cell r="K257">
            <v>4.4927649974184769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6.9600928503734476</v>
          </cell>
          <cell r="J258">
            <v>8.0678002794429133</v>
          </cell>
          <cell r="K258">
            <v>7.6476803873506647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6.9600928503734476</v>
          </cell>
          <cell r="J259">
            <v>8.0678002794429133</v>
          </cell>
          <cell r="K259">
            <v>7.6476803873506647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0.2454039914782</v>
          </cell>
          <cell r="J260">
            <v>0.30684095350083901</v>
          </cell>
          <cell r="K260">
            <v>0.18998084257922901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0.24540478672270799</v>
          </cell>
          <cell r="J261">
            <v>0.35030738044740101</v>
          </cell>
          <cell r="K261">
            <v>0.29508038852455998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1.8868787909898073E-3</v>
          </cell>
          <cell r="J262">
            <v>12.922022969701372</v>
          </cell>
          <cell r="K262">
            <v>12.922018623802934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1.8868787909898073E-3</v>
          </cell>
          <cell r="J263">
            <v>12.922022969701372</v>
          </cell>
          <cell r="K263">
            <v>12.922018623802934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1.8868787909898099E-3</v>
          </cell>
          <cell r="J264">
            <v>12.9220229697014</v>
          </cell>
          <cell r="K264">
            <v>12.9220186238029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5.3937983598148205E-4</v>
          </cell>
          <cell r="J265">
            <v>3.7244990434404301</v>
          </cell>
          <cell r="K265">
            <v>5.4818451336299199E-7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5.4393212691694604E-4</v>
          </cell>
          <cell r="J266">
            <v>3.7250429755673502</v>
          </cell>
          <cell r="K266">
            <v>3.72504352375186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7.4918644644938217</v>
          </cell>
          <cell r="J267">
            <v>5.9279510903550143</v>
          </cell>
          <cell r="K267">
            <v>3.2008978740503003E-3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1944.97551381109</v>
          </cell>
          <cell r="J268">
            <v>1538.96533665993</v>
          </cell>
          <cell r="K268">
            <v>0.83099047196370202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20.958787864343655</v>
          </cell>
          <cell r="J269">
            <v>16.58367819676646</v>
          </cell>
          <cell r="K269">
            <v>8.9546387065054175E-3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7.5382698483842894E-2</v>
          </cell>
          <cell r="J270">
            <v>2.12893352185974E-7</v>
          </cell>
          <cell r="K270">
            <v>7.3884773102246406E-8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0.27948897049224325</v>
          </cell>
          <cell r="J271">
            <v>0.24621395798974</v>
          </cell>
          <cell r="K271">
            <v>1.9722036265870657E-4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4.8681619302230734</v>
          </cell>
          <cell r="J272">
            <v>4.8681669800652738</v>
          </cell>
          <cell r="K272">
            <v>5.7920289942451166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4.8681619302230734</v>
          </cell>
          <cell r="J273">
            <v>4.8681669800652738</v>
          </cell>
          <cell r="K273">
            <v>5.7920289942451166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5.0785482053707396</v>
          </cell>
          <cell r="J274">
            <v>4.9549427039235674</v>
          </cell>
          <cell r="K274">
            <v>9.0715882465246001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5.0785482053707396</v>
          </cell>
          <cell r="J275">
            <v>4.9549427039235674</v>
          </cell>
          <cell r="K275">
            <v>9.0715882465246001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1.5842271085238864</v>
          </cell>
          <cell r="J276">
            <v>1.225888850290302</v>
          </cell>
          <cell r="K276">
            <v>1.6015104733813377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2.2631815836055513</v>
          </cell>
          <cell r="J277">
            <v>1.7512697861290045</v>
          </cell>
          <cell r="K277">
            <v>2.2878721048304835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1.61823235533279E-5</v>
          </cell>
          <cell r="J278">
            <v>5.10624047432824E-2</v>
          </cell>
          <cell r="K278">
            <v>0.20559433745722699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0.31162717709418503</v>
          </cell>
          <cell r="J279">
            <v>0.160122833819939</v>
          </cell>
          <cell r="K279">
            <v>0.25667061313902101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2.0638049552484564E-5</v>
          </cell>
          <cell r="K280">
            <v>4.0904548102999707E-3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2.3944982789517099E-3</v>
          </cell>
          <cell r="K281">
            <v>0.39780123608090101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4.2455643243824639E-5</v>
          </cell>
          <cell r="K282">
            <v>7.0532134056897422E-3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7.8579780977719592E-6</v>
          </cell>
          <cell r="K283">
            <v>5.4218024395973183E-4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1.63201610698933E-5</v>
          </cell>
          <cell r="K284">
            <v>7.1124100275586296E-4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7.8579780977719592E-6</v>
          </cell>
          <cell r="K285">
            <v>5.421802439597315E-4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843.04247911649998</v>
          </cell>
          <cell r="J286">
            <v>491.49124083968701</v>
          </cell>
          <cell r="K286">
            <v>236.20218016880099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15.513560336832759</v>
          </cell>
          <cell r="J287">
            <v>11.18816554199255</v>
          </cell>
          <cell r="K287">
            <v>7.2683559338857293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3.4394042249635535E-3</v>
          </cell>
          <cell r="J288">
            <v>4.9844094673713027E-3</v>
          </cell>
          <cell r="K288">
            <v>4.2154502242806226E-3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14.947561686462773</v>
          </cell>
          <cell r="J289">
            <v>8.7143837028313254</v>
          </cell>
          <cell r="K289">
            <v>4.1879819178865469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0.61559525624357336</v>
          </cell>
          <cell r="J290">
            <v>2.5095649141933714</v>
          </cell>
          <cell r="K290">
            <v>3.1038795191192907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3.4347220086078283E-3</v>
          </cell>
          <cell r="J291">
            <v>4.9725298215333464E-3</v>
          </cell>
          <cell r="K291">
            <v>4.2052100184066599E-3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1.0160379645323699E-6</v>
          </cell>
          <cell r="J292">
            <v>9.9716470609830393E-7</v>
          </cell>
          <cell r="K292">
            <v>2.2656515690073702E-6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2.2350568268643229</v>
          </cell>
          <cell r="J293">
            <v>2.2350578240290293</v>
          </cell>
          <cell r="K293">
            <v>1.1208983905443182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1.9243106653179184E-3</v>
          </cell>
          <cell r="J294">
            <v>2.0634338813872934E-3</v>
          </cell>
          <cell r="K294">
            <v>7.9653610762878753E-4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5.0874764257079546E-3</v>
          </cell>
          <cell r="J295">
            <v>5.3401987296814854E-3</v>
          </cell>
          <cell r="K295">
            <v>1.9796442576393743E-3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9.590985422435961E-3</v>
          </cell>
          <cell r="J296">
            <v>8.8364553638683591E-3</v>
          </cell>
          <cell r="K296">
            <v>3.559103053248568E-3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1.0122787334892801E-4</v>
          </cell>
          <cell r="J297">
            <v>3.4455673942655597E-5</v>
          </cell>
          <cell r="K297">
            <v>2.91806536916683E-6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1.7112355525520986E-4</v>
          </cell>
          <cell r="J298">
            <v>1.8333900846998258E-4</v>
          </cell>
          <cell r="K298">
            <v>7.0670155431774357E-5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12.699282777905772</v>
          </cell>
          <cell r="J299">
            <v>9.0439129015735897</v>
          </cell>
          <cell r="K299">
            <v>8.1772164382153694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2.6772755527825049E-3</v>
          </cell>
          <cell r="J300">
            <v>1.1789660455804976</v>
          </cell>
          <cell r="K300">
            <v>1.0738440080596274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16.961921523778837</v>
          </cell>
          <cell r="J301">
            <v>12.509722726136934</v>
          </cell>
          <cell r="K301">
            <v>10.882562230627295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14.062587252597446</v>
          </cell>
          <cell r="J302">
            <v>8.7378600563713285</v>
          </cell>
          <cell r="K302">
            <v>7.9917659806623966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16.315856055542913</v>
          </cell>
          <cell r="J303">
            <v>10.349843664421662</v>
          </cell>
          <cell r="K303">
            <v>9.4422296512317736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60.042324885377759</v>
          </cell>
          <cell r="J304">
            <v>41.820259416357295</v>
          </cell>
          <cell r="K304">
            <v>37.567575381391045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3.1338721901618902E-7</v>
          </cell>
          <cell r="J305">
            <v>4.0463683920390298E-7</v>
          </cell>
          <cell r="K305">
            <v>5.7548752417870796E-7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4.3300933629778848</v>
          </cell>
          <cell r="J306">
            <v>4.3300937957240482</v>
          </cell>
          <cell r="K306">
            <v>4.3300944313727454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1.33996092344006</v>
          </cell>
          <cell r="J307">
            <v>0.22889509692677701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7.6212249144166737E-3</v>
          </cell>
          <cell r="J308">
            <v>1.3505853696754529E-3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1.0793889095215533E-2</v>
          </cell>
          <cell r="J309">
            <v>2.0258780545131779E-3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2.3758172401419527E-2</v>
          </cell>
          <cell r="J310">
            <v>4.0584237043754775E-3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4.4707882377434047E-4</v>
          </cell>
          <cell r="J312">
            <v>2.1852278395369934E-4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0.73555161156186222</v>
          </cell>
          <cell r="J313">
            <v>0.73349979718073544</v>
          </cell>
          <cell r="K313">
            <v>0.72946113660742307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0.73555161156186222</v>
          </cell>
          <cell r="J314">
            <v>0.73349979718073544</v>
          </cell>
          <cell r="K314">
            <v>0.72946113660742307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3.3938753069185403E-3</v>
          </cell>
          <cell r="J315">
            <v>2.6834293133677668E-3</v>
          </cell>
          <cell r="K315">
            <v>0.3710572714688119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3.396994677605035E-3</v>
          </cell>
          <cell r="J316">
            <v>2.6834293133677569E-3</v>
          </cell>
          <cell r="K316">
            <v>0.37105727146881162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4.1235547941282551E-3</v>
          </cell>
          <cell r="J317">
            <v>3.1599889461797681E-3</v>
          </cell>
          <cell r="K317">
            <v>0.41228813436355555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4.1235547941282551E-3</v>
          </cell>
          <cell r="J318">
            <v>3.1599889461797681E-3</v>
          </cell>
          <cell r="K318">
            <v>0.41228813436355555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7.3267557081196306E-5</v>
          </cell>
          <cell r="J319">
            <v>1.4051805857488099E-4</v>
          </cell>
          <cell r="K319">
            <v>4.6508178302304901E-2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4.973352706580138E-4</v>
          </cell>
          <cell r="J320">
            <v>3.5945997389625321E-4</v>
          </cell>
          <cell r="K320">
            <v>4.6704397632735116E-2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0.82750682522961438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0.16690353776060754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46.803436807338301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0.63505341665316473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1.3309835871917525E-2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22.558644192001065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68.00798016851401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0.76677411393617012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1717.5075695788801</v>
          </cell>
          <cell r="J330">
            <v>977.07082224525004</v>
          </cell>
          <cell r="K330">
            <v>570.33851686808202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31.219060520562351</v>
          </cell>
          <cell r="J331">
            <v>22.840214217369468</v>
          </cell>
          <cell r="K331">
            <v>15.960018483021955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7.0946254560474995E-3</v>
          </cell>
          <cell r="J332">
            <v>1.3929601969414044E-2</v>
          </cell>
          <cell r="K332">
            <v>1.5905327626479171E-2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30.452261871965931</v>
          </cell>
          <cell r="J333">
            <v>17.323950749029255</v>
          </cell>
          <cell r="K333">
            <v>10.112385050852522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0.86660171710697642</v>
          </cell>
          <cell r="J334">
            <v>5.5893077488141438</v>
          </cell>
          <cell r="K334">
            <v>5.8989605000300154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7.0899432396952953E-3</v>
          </cell>
          <cell r="J335">
            <v>1.392619501260957E-2</v>
          </cell>
          <cell r="K335">
            <v>1.5896903463357367E-2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2.98799426262555E-7</v>
          </cell>
          <cell r="J336">
            <v>3.6933992438233298E-7</v>
          </cell>
          <cell r="K336">
            <v>6.4330643493470095E-7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3.0972415857825739</v>
          </cell>
          <cell r="J337">
            <v>3.0972419551224983</v>
          </cell>
          <cell r="K337">
            <v>1.5532848390692333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7.3323971255002335E-3</v>
          </cell>
          <cell r="J338">
            <v>0.10888641121045763</v>
          </cell>
          <cell r="K338">
            <v>8.4650890089496847E-2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1.0883168147294191E-2</v>
          </cell>
          <cell r="J339">
            <v>0.18147735201742932</v>
          </cell>
          <cell r="K339">
            <v>0.16930178017899367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2.0829029946974515E-2</v>
          </cell>
          <cell r="J340">
            <v>0.32995882184987158</v>
          </cell>
          <cell r="K340">
            <v>0.28216963363165615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9.1220903981886802E-4</v>
          </cell>
          <cell r="J341">
            <v>2.2603631529081E-2</v>
          </cell>
          <cell r="K341">
            <v>4.2852569017400299E-4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9.1220903981886802E-4</v>
          </cell>
          <cell r="J342">
            <v>2.3515717186607461E-2</v>
          </cell>
          <cell r="K342">
            <v>1.721828694078829E-2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45.70194416945138</v>
          </cell>
          <cell r="J343">
            <v>34.169045627978704</v>
          </cell>
          <cell r="K343">
            <v>35.417920777152133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45.580360225069285</v>
          </cell>
          <cell r="J344">
            <v>17.838251761665383</v>
          </cell>
          <cell r="K344">
            <v>16.251894027490685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0.12158394438206976</v>
          </cell>
          <cell r="J345">
            <v>16.33079386631335</v>
          </cell>
          <cell r="K345">
            <v>19.166026749661434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3.3104806960959101E-6</v>
          </cell>
          <cell r="J346">
            <v>2.4670688935903699E-6</v>
          </cell>
          <cell r="K346">
            <v>3.0014943768039299E-6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1.484903095650997</v>
          </cell>
          <cell r="J347">
            <v>1.484906796775308</v>
          </cell>
          <cell r="K347">
            <v>1.4849102969754211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10.473215430848846</v>
          </cell>
          <cell r="J348">
            <v>13.364971241636761</v>
          </cell>
          <cell r="K348">
            <v>99.589329409492237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10.484865281161222</v>
          </cell>
          <cell r="J349">
            <v>13.364971241636749</v>
          </cell>
          <cell r="K349">
            <v>99.589329409492223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11.649838968498553</v>
          </cell>
          <cell r="J350">
            <v>14.370930114934813</v>
          </cell>
          <cell r="K350">
            <v>100.59528903260782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11.649838968498553</v>
          </cell>
          <cell r="J351">
            <v>14.370930114934813</v>
          </cell>
          <cell r="K351">
            <v>100.59528903260782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0.104990479492754</v>
          </cell>
          <cell r="J352">
            <v>0.59824134563104703</v>
          </cell>
          <cell r="K352">
            <v>5.7097709428347496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0.655481459659494</v>
          </cell>
          <cell r="J353">
            <v>0.8339464912794603</v>
          </cell>
          <cell r="K353">
            <v>6.1883221167391165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3.6910823600275783E-2</v>
          </cell>
          <cell r="J354">
            <v>8.8949071312459896E-2</v>
          </cell>
          <cell r="K354">
            <v>0.66798832118728779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3.6951881246104733E-2</v>
          </cell>
          <cell r="J355">
            <v>8.8949071312459799E-2</v>
          </cell>
          <cell r="K355">
            <v>0.66798832118728779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4.1042826010171209E-2</v>
          </cell>
          <cell r="J356">
            <v>9.5640463675321405E-2</v>
          </cell>
          <cell r="K356">
            <v>0.67473931088803973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4.1042826010171209E-2</v>
          </cell>
          <cell r="J357">
            <v>9.5640463675321405E-2</v>
          </cell>
          <cell r="K357">
            <v>0.67473931088803973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3.8408592625984099E-3</v>
          </cell>
          <cell r="J358">
            <v>1.82831359087867E-3</v>
          </cell>
          <cell r="K358">
            <v>3.8580092665684601E-2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4.6967380193699559E-3</v>
          </cell>
          <cell r="J359">
            <v>5.7167447547953974E-3</v>
          </cell>
          <cell r="K359">
            <v>4.1508713006116145E-2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0.54786749310903704</v>
          </cell>
          <cell r="J360">
            <v>3.8028282218702601E-2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6.9963307466474464E-3</v>
          </cell>
          <cell r="J361">
            <v>4.8562552711252805E-4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7.1151622481693136E-3</v>
          </cell>
          <cell r="J362">
            <v>4.9387379504808534E-4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1.3086544130683</v>
          </cell>
          <cell r="J363">
            <v>0.35950789584467002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6.1892543057941842E-3</v>
          </cell>
          <cell r="J364">
            <v>1.8442442860710053E-3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1.2635548681118628E-2</v>
          </cell>
          <cell r="J365">
            <v>3.7187220850284195E-3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2.320309243028899E-2</v>
          </cell>
          <cell r="J366">
            <v>6.3742534724232254E-3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4.5878277372737885E-4</v>
          </cell>
          <cell r="J368">
            <v>2.3761005211881921E-4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1.8400064447442975E-3</v>
          </cell>
          <cell r="J369">
            <v>2.437011646656417E-2</v>
          </cell>
          <cell r="K369">
            <v>1.2721333021544627E-2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1.8400064447442975E-3</v>
          </cell>
          <cell r="J370">
            <v>2.437011646656417E-2</v>
          </cell>
          <cell r="K370">
            <v>1.2721333021544627E-2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8.1774217079371995E-6</v>
          </cell>
          <cell r="J371">
            <v>1.2170373649601E-5</v>
          </cell>
          <cell r="K371">
            <v>1.9925082672585001E-5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3.982543703549446E-3</v>
          </cell>
          <cell r="J372">
            <v>1.1653559924444501E-2</v>
          </cell>
          <cell r="K372">
            <v>1.089803961820035E-2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0.17498099052936214</v>
          </cell>
          <cell r="J373">
            <v>1.7900639036800472</v>
          </cell>
          <cell r="K373">
            <v>2.6207956794040963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0.17498099052936147</v>
          </cell>
          <cell r="J374">
            <v>1.7900639036800405</v>
          </cell>
          <cell r="K374">
            <v>2.6207956794040901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0.20181901249616385</v>
          </cell>
          <cell r="J375">
            <v>2.0645745416790322</v>
          </cell>
          <cell r="K375">
            <v>3.0226964364452544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0.20181901249616385</v>
          </cell>
          <cell r="J376">
            <v>2.0645745416790322</v>
          </cell>
          <cell r="K376">
            <v>3.0226964364452544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6.9165419808357803E-2</v>
          </cell>
          <cell r="J377">
            <v>1.1558685218496301</v>
          </cell>
          <cell r="K377">
            <v>0.63686895584832104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9.2291691023606556E-2</v>
          </cell>
          <cell r="J378">
            <v>1.2286386875382413</v>
          </cell>
          <cell r="K378">
            <v>1.228679658078857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0.82966013451460341</v>
          </cell>
          <cell r="J379">
            <v>1.4212626717072565</v>
          </cell>
          <cell r="K379">
            <v>1.0844039557139016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0.82966013451460341</v>
          </cell>
          <cell r="J380">
            <v>1.4212626717072565</v>
          </cell>
          <cell r="K380">
            <v>1.0844039557139016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0.82966013451460396</v>
          </cell>
          <cell r="J381">
            <v>1.4212626717072601</v>
          </cell>
          <cell r="K381">
            <v>1.0844039557139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0.17054351418678501</v>
          </cell>
          <cell r="J382">
            <v>0.17054577641900701</v>
          </cell>
          <cell r="K382">
            <v>2.6213401604976299E-6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0.239170558908162</v>
          </cell>
          <cell r="J383">
            <v>0.409716335327169</v>
          </cell>
          <cell r="K383">
            <v>0.31261140937302601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4.0849144212677501E-3</v>
          </cell>
          <cell r="J384">
            <v>1.4290045185595388E-3</v>
          </cell>
          <cell r="K384">
            <v>4.4668599102243951E-4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4.0811633520103936E-3</v>
          </cell>
          <cell r="J385">
            <v>1.4290045185595434E-3</v>
          </cell>
          <cell r="K385">
            <v>4.4668599102244027E-4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4.9600843894595081E-3</v>
          </cell>
          <cell r="J386">
            <v>1.6898388847172861E-3</v>
          </cell>
          <cell r="K386">
            <v>3.7142719254027649E-4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4.9600843894595081E-3</v>
          </cell>
          <cell r="J387">
            <v>1.6898388847172861E-3</v>
          </cell>
          <cell r="K387">
            <v>3.7142719254027649E-4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5.4955728364954196E-3</v>
          </cell>
          <cell r="J388">
            <v>1.5773732939762799E-4</v>
          </cell>
          <cell r="K388">
            <v>3.50695135989774E-5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7.4881841563295241E-3</v>
          </cell>
          <cell r="J389">
            <v>5.6635051149337865E-3</v>
          </cell>
          <cell r="K389">
            <v>2.4219664424043274E-3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7.1906242718674207</v>
          </cell>
          <cell r="J390">
            <v>7.5574306817258838</v>
          </cell>
          <cell r="K390">
            <v>8.348106846791536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7.1906242718674207</v>
          </cell>
          <cell r="J391">
            <v>7.5574306817258838</v>
          </cell>
          <cell r="K391">
            <v>8.348106846791536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7.1906242718674198</v>
          </cell>
          <cell r="J392">
            <v>7.5574306817258901</v>
          </cell>
          <cell r="K392">
            <v>8.3481068467915307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0.100610131718296</v>
          </cell>
          <cell r="J393">
            <v>0.105746731804212</v>
          </cell>
          <cell r="K393">
            <v>1.8031665241388299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2.0728503198270101</v>
          </cell>
          <cell r="J394">
            <v>2.1785907832057299</v>
          </cell>
          <cell r="K394">
            <v>2.4065183274213999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1.7111406523286299E-2</v>
          </cell>
          <cell r="J395">
            <v>9.5362143774949011E-3</v>
          </cell>
          <cell r="K395">
            <v>0.38260610790748101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1.7127133918987833E-2</v>
          </cell>
          <cell r="J396">
            <v>9.5362143774948699E-3</v>
          </cell>
          <cell r="K396">
            <v>0.38260610790748062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2.0768834709175687E-2</v>
          </cell>
          <cell r="J397">
            <v>1.122773283640768E-2</v>
          </cell>
          <cell r="K397">
            <v>0.42512671721284501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2.0768834709175687E-2</v>
          </cell>
          <cell r="J398">
            <v>1.122773283640768E-2</v>
          </cell>
          <cell r="K398">
            <v>0.42512671721284501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8.4377855717833895E-3</v>
          </cell>
          <cell r="J399">
            <v>9.3622996847916005E-4</v>
          </cell>
          <cell r="K399">
            <v>0.210703020008914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1.0542604833265041E-2</v>
          </cell>
          <cell r="J400">
            <v>9.3742872077915828E-3</v>
          </cell>
          <cell r="K400">
            <v>0.2149177644660934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2.7379781978281261E-3</v>
          </cell>
          <cell r="J401">
            <v>1.2486293214800603</v>
          </cell>
          <cell r="K401">
            <v>1.0995497581793363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41.187391844861423</v>
          </cell>
          <cell r="J402">
            <v>32.911734304577799</v>
          </cell>
          <cell r="K402">
            <v>32.317770941404191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41.190129823059252</v>
          </cell>
          <cell r="J403">
            <v>34.16035113929928</v>
          </cell>
          <cell r="K403">
            <v>33.417307281527279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5.1262258669971703E-7</v>
          </cell>
          <cell r="J404">
            <v>6.6090598772065998E-7</v>
          </cell>
          <cell r="K404">
            <v>8.4701557593748205E-7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4.3683900198930052</v>
          </cell>
          <cell r="J405">
            <v>4.3683907272858757</v>
          </cell>
          <cell r="K405">
            <v>4.3683916967339247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0.81779107380836535</v>
          </cell>
          <cell r="J406">
            <v>0.97895071552276181</v>
          </cell>
          <cell r="K406">
            <v>1.1574769193840355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2.1386747330341103</v>
          </cell>
          <cell r="J407">
            <v>2.560136968020764</v>
          </cell>
          <cell r="K407">
            <v>3.0270159712416662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2.8153666217651891</v>
          </cell>
          <cell r="J408">
            <v>3.1973089105343</v>
          </cell>
          <cell r="K408">
            <v>3.7812294285421886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3.08651196340438E-2</v>
          </cell>
          <cell r="J409">
            <v>2.18303540157757E-2</v>
          </cell>
          <cell r="K409">
            <v>5.1283835479285701E-2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3.1290726636233474E-2</v>
          </cell>
          <cell r="J410">
            <v>5.2986730605017927E-2</v>
          </cell>
          <cell r="K410">
            <v>9.7767357524753087E-2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4.0776721229587795E-3</v>
          </cell>
          <cell r="K411">
            <v>2.6592581867144052E-2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4.0776721229587795E-3</v>
          </cell>
          <cell r="K412">
            <v>2.6592581867144052E-2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2.3540914443954101E-6</v>
          </cell>
          <cell r="J413">
            <v>6.1400542161040397E-4</v>
          </cell>
          <cell r="K413">
            <v>1.64861654383137E-3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2.3540914443954101E-6</v>
          </cell>
          <cell r="J414">
            <v>6.1442238281456802E-4</v>
          </cell>
          <cell r="K414">
            <v>1.85892644634915E-3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146.03245745229822</v>
          </cell>
          <cell r="J415">
            <v>102.31436601958004</v>
          </cell>
          <cell r="K415">
            <v>72.634562308866109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148.41843606880119</v>
          </cell>
          <cell r="J416">
            <v>103.61387215828685</v>
          </cell>
          <cell r="K416">
            <v>73.034308059034558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7.4227837582813298E-7</v>
          </cell>
          <cell r="J417">
            <v>1.2050960838581401E-6</v>
          </cell>
          <cell r="K417">
            <v>4.5639683281417198E-6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15.305610198750777</v>
          </cell>
          <cell r="J418">
            <v>15.305610575542525</v>
          </cell>
          <cell r="K418">
            <v>15.305613037269186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12.258492703699737</v>
          </cell>
          <cell r="J419">
            <v>12.266280686703075</v>
          </cell>
          <cell r="K419">
            <v>12.282278632114217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12.258492703699737</v>
          </cell>
          <cell r="J420">
            <v>12.266280686703075</v>
          </cell>
          <cell r="K420">
            <v>12.282278632114217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3.9815088344697797E-3</v>
          </cell>
          <cell r="J422">
            <v>2.0155340095655994E-3</v>
          </cell>
          <cell r="K422">
            <v>2.3576476030571511E-3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3.9851683095014547E-3</v>
          </cell>
          <cell r="J423">
            <v>2.0155340095655929E-3</v>
          </cell>
          <cell r="K423">
            <v>2.3576476030571481E-3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4.8391747651022861E-3</v>
          </cell>
          <cell r="J424">
            <v>2.3798735800282488E-3</v>
          </cell>
          <cell r="K424">
            <v>2.6283993477420184E-3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4.8391747651022861E-3</v>
          </cell>
          <cell r="J425">
            <v>2.3798735800282488E-3</v>
          </cell>
          <cell r="K425">
            <v>2.6283993477420184E-3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3.7882507339991201E-3</v>
          </cell>
          <cell r="J426">
            <v>2.5500886102580099E-4</v>
          </cell>
          <cell r="K426">
            <v>5.3807293530214997E-4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4.6879725508208086E-3</v>
          </cell>
          <cell r="J427">
            <v>4.0779521415347797E-3</v>
          </cell>
          <cell r="K427">
            <v>2.3023404947701193E-3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1.3785713153177892E-4</v>
          </cell>
          <cell r="J428">
            <v>2.1851311926684877E-4</v>
          </cell>
          <cell r="K428">
            <v>9.6696998716484283E-6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1.1890702800932299E-2</v>
          </cell>
          <cell r="J429">
            <v>1.8847589025220799E-2</v>
          </cell>
          <cell r="K429">
            <v>8.3404845342716202E-4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1.6133925103028961E-4</v>
          </cell>
          <cell r="J430">
            <v>2.557339080762661E-4</v>
          </cell>
          <cell r="K430">
            <v>1.1316803981372618E-5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7.9952389945972101E-4</v>
          </cell>
          <cell r="J431">
            <v>4.7876287584639398E-5</v>
          </cell>
          <cell r="K431">
            <v>2.8986697558227299E-5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8.6997387798422299E-4</v>
          </cell>
          <cell r="J432">
            <v>8.8242065281686347E-4</v>
          </cell>
          <cell r="K432">
            <v>7.0623575972731767E-4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0.28389928025259697</v>
          </cell>
          <cell r="J433">
            <v>1.6512095606117636</v>
          </cell>
          <cell r="K433">
            <v>1.7497995653649496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4.4439677169817145E-3</v>
          </cell>
          <cell r="J434">
            <v>1.4923103415985654E-3</v>
          </cell>
          <cell r="K434">
            <v>7.2521941861651497E-4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4.0059402330297434E-3</v>
          </cell>
          <cell r="J435">
            <v>1.9358053010656699E-3</v>
          </cell>
          <cell r="K435">
            <v>7.249673290635547E-4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1.9382340129981161E-3</v>
          </cell>
          <cell r="J436">
            <v>1.267147695468196E-3</v>
          </cell>
          <cell r="K436">
            <v>6.2582926602992341E-4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6.0685469156937836E-4</v>
          </cell>
          <cell r="J437">
            <v>7.5191431013483113E-4</v>
          </cell>
          <cell r="K437">
            <v>4.2780089739338648E-4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6.1098397322172107E-2</v>
          </cell>
          <cell r="J438">
            <v>0.62173164318243257</v>
          </cell>
          <cell r="K438">
            <v>0.58489994812739965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2.9489048673324966E-2</v>
          </cell>
          <cell r="J439">
            <v>0.20421693916633965</v>
          </cell>
          <cell r="K439">
            <v>0.19827373167316539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3.498904947094484E-2</v>
          </cell>
          <cell r="J440">
            <v>0.20325267998058677</v>
          </cell>
          <cell r="K440">
            <v>0.1959600561908294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2.8160734293483494E-2</v>
          </cell>
          <cell r="J441">
            <v>0.20512193507223642</v>
          </cell>
          <cell r="K441">
            <v>0.19103552103452592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7.3938080077003933E-3</v>
          </cell>
          <cell r="J442">
            <v>5.5573627549670929E-3</v>
          </cell>
          <cell r="K442">
            <v>8.9464114206082139E-4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7.3235336293940589E-4</v>
          </cell>
          <cell r="J443">
            <v>7.4596521845137441E-4</v>
          </cell>
          <cell r="K443">
            <v>2.227014265914447E-3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4.7578334308070194E-2</v>
          </cell>
          <cell r="J444">
            <v>0.28568551585606106</v>
          </cell>
          <cell r="K444">
            <v>0.49746170208365403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3.1095329932678268E-3</v>
          </cell>
          <cell r="J445">
            <v>2.7655707803757746E-3</v>
          </cell>
          <cell r="K445">
            <v>1.8011186669536689E-3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6.1622855438607568E-3</v>
          </cell>
          <cell r="J446">
            <v>1.1126770981744158E-2</v>
          </cell>
          <cell r="K446">
            <v>2.5779726908306006E-3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8.7979855196485823E-3</v>
          </cell>
          <cell r="J447">
            <v>7.6830129671891833E-3</v>
          </cell>
          <cell r="K447">
            <v>4.9645663614544715E-3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1.3212815712887701E-2</v>
          </cell>
          <cell r="J448">
            <v>1.2492528048834058E-2</v>
          </cell>
          <cell r="K448">
            <v>8.2271468620003438E-3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1.3330216651131013E-2</v>
          </cell>
          <cell r="J449">
            <v>1.4731367774759835E-2</v>
          </cell>
          <cell r="K449">
            <v>1.2149458403819379E-2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4.9401299025190071E-4</v>
          </cell>
          <cell r="J450">
            <v>5.9246087456066136E-4</v>
          </cell>
          <cell r="K450">
            <v>2.9637050120104476E-4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4.9104198928650764E-4</v>
          </cell>
          <cell r="J451">
            <v>3.9162083355490443E-4</v>
          </cell>
          <cell r="K451">
            <v>2.6552507038727556E-4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2.0638159355993043E-4</v>
          </cell>
          <cell r="J452">
            <v>1.7252652964234086E-4</v>
          </cell>
          <cell r="K452">
            <v>1.3606641407934683E-4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4.1754023286043427E-4</v>
          </cell>
          <cell r="J453">
            <v>5.0120444413555428E-4</v>
          </cell>
          <cell r="K453">
            <v>2.7349443963804E-4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1.2338889665498643E-3</v>
          </cell>
          <cell r="J454">
            <v>1.0556241159764873E-3</v>
          </cell>
          <cell r="K454">
            <v>5.7755026852629324E-4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1.6326415103811991E-2</v>
          </cell>
          <cell r="J455">
            <v>6.8233542827145541E-2</v>
          </cell>
          <cell r="K455">
            <v>4.5517190352614686E-2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0.97609759322016398</v>
          </cell>
          <cell r="J456">
            <v>4.6364301792241003</v>
          </cell>
          <cell r="K456">
            <v>2.5745122414247898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0.99005398565385938</v>
          </cell>
          <cell r="J457">
            <v>5.6220406878359022</v>
          </cell>
          <cell r="K457">
            <v>6.3521967895869986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1.1839708084664389</v>
          </cell>
          <cell r="J458">
            <v>1.1839654858709106</v>
          </cell>
          <cell r="K458">
            <v>1.1839784748172806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1.1839708084664389</v>
          </cell>
          <cell r="J459">
            <v>1.1839654858709106</v>
          </cell>
          <cell r="K459">
            <v>1.1839784748172806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90.983342049262816</v>
          </cell>
          <cell r="J460">
            <v>107.99588512966736</v>
          </cell>
          <cell r="K460">
            <v>85.73059288509279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100.4109590439093</v>
          </cell>
          <cell r="J461">
            <v>41.156391110481735</v>
          </cell>
          <cell r="K461">
            <v>39.542510537619087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7.0942123825432427E-3</v>
          </cell>
          <cell r="J462">
            <v>2.3236709594520417</v>
          </cell>
          <cell r="K462">
            <v>3.7092581190917615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197.59874111326479</v>
          </cell>
          <cell r="J463">
            <v>155.53796878233871</v>
          </cell>
          <cell r="K463">
            <v>131.02925170006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1.0296683953825299E-6</v>
          </cell>
          <cell r="J464">
            <v>1.56750509850717E-6</v>
          </cell>
          <cell r="K464">
            <v>5.8077842815518002E-6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13.914192521936608</v>
          </cell>
          <cell r="J465">
            <v>13.914193029778167</v>
          </cell>
          <cell r="K465">
            <v>13.914196269839488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0.9017901451920407</v>
          </cell>
          <cell r="J466">
            <v>0.90178609115273412</v>
          </cell>
          <cell r="K466">
            <v>0.90179598438975528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1.1839708084664389</v>
          </cell>
          <cell r="J467">
            <v>1.1839654858709106</v>
          </cell>
          <cell r="K467">
            <v>1.1839784748172806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5.1465978950753097E-2</v>
          </cell>
          <cell r="J468">
            <v>3.2423239561983402E-4</v>
          </cell>
          <cell r="K468">
            <v>8.2372704594998597E-2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0.11440484747429329</v>
          </cell>
          <cell r="J469">
            <v>0.11466935005157627</v>
          </cell>
          <cell r="K469">
            <v>0.14003957269285797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101.28982899955581</v>
          </cell>
          <cell r="J470">
            <v>117.58149738904078</v>
          </cell>
          <cell r="K470">
            <v>116.1352009886006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6.5862642579106239E-3</v>
          </cell>
          <cell r="J471">
            <v>1.3637613190746836</v>
          </cell>
          <cell r="K471">
            <v>3.20091594389157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105.09628789050772</v>
          </cell>
          <cell r="J472">
            <v>122.96549557364267</v>
          </cell>
          <cell r="K472">
            <v>122.49273739574009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1.58062638960651</v>
          </cell>
          <cell r="J473">
            <v>1.2851433961430501</v>
          </cell>
          <cell r="K473">
            <v>0.96722996350072798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12.852849604135338</v>
          </cell>
          <cell r="J474">
            <v>13.494619844855309</v>
          </cell>
          <cell r="K474">
            <v>16.116683528952752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882.57626633796201</v>
          </cell>
          <cell r="J475">
            <v>508.65139640366499</v>
          </cell>
          <cell r="K475">
            <v>9.856129558590439E-4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11.776576529729931</v>
          </cell>
          <cell r="J476">
            <v>6.7873256860145847</v>
          </cell>
          <cell r="K476">
            <v>1.2797451625720144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11.975254631451323</v>
          </cell>
          <cell r="J477">
            <v>6.9016471696562416</v>
          </cell>
          <cell r="K477">
            <v>1.3373310120204116E-5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1.3498655333758886E-3</v>
          </cell>
          <cell r="J478">
            <v>9.632065050980287E-4</v>
          </cell>
          <cell r="K478">
            <v>1.3014715481742718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51.055789527683537</v>
          </cell>
          <cell r="J482">
            <v>49.955777271956819</v>
          </cell>
          <cell r="K482">
            <v>47.773831114554525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51.055789527683537</v>
          </cell>
          <cell r="J483">
            <v>49.955777271956819</v>
          </cell>
          <cell r="K483">
            <v>47.773831114554525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12.197321289892168</v>
          </cell>
          <cell r="J485">
            <v>12.819523081109443</v>
          </cell>
          <cell r="K485">
            <v>14.160728912955626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4.0657737632973854</v>
          </cell>
          <cell r="J486">
            <v>4.2731743603698114</v>
          </cell>
          <cell r="K486">
            <v>4.7202429709852112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24.3946425797843</v>
          </cell>
          <cell r="J487">
            <v>25.6390461622189</v>
          </cell>
          <cell r="K487">
            <v>28.321457825911299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3.6601051016154199E-2</v>
          </cell>
          <cell r="J488">
            <v>0.15431117897999899</v>
          </cell>
          <cell r="K488">
            <v>0.56849655540654698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0.75125864883688964</v>
          </cell>
          <cell r="J489">
            <v>0.79298868733809058</v>
          </cell>
          <cell r="K489">
            <v>0.87516529502303997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7.6289065419846418</v>
          </cell>
          <cell r="J490">
            <v>7.6289193455469286</v>
          </cell>
          <cell r="K490">
            <v>9.0635657865870289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8.2772615996516592</v>
          </cell>
          <cell r="J491">
            <v>8.2718499043690521</v>
          </cell>
          <cell r="K491">
            <v>9.8145353504753388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2.3071801443772499E-7</v>
          </cell>
          <cell r="J492">
            <v>2.68611357590874E-7</v>
          </cell>
          <cell r="K492">
            <v>2.80467667023472E-7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0.79547334666324498</v>
          </cell>
          <cell r="J493">
            <v>0.79547361527460303</v>
          </cell>
          <cell r="K493">
            <v>0.79547389574227001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1.6169266718333124</v>
          </cell>
          <cell r="J494">
            <v>1.8682213142223227</v>
          </cell>
          <cell r="K494">
            <v>2.2557512887397864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1.6292450466165627</v>
          </cell>
          <cell r="J495">
            <v>1.8824541490982254</v>
          </cell>
          <cell r="K495">
            <v>2.2729364773303065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7.1186738990389797E-2</v>
          </cell>
          <cell r="J496">
            <v>0.23767819974069301</v>
          </cell>
          <cell r="K496">
            <v>5.2060214705283302E-4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7.1188069813909002E-2</v>
          </cell>
          <cell r="J497">
            <v>0.308866269554602</v>
          </cell>
          <cell r="K497">
            <v>0.30938687170165502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1.7488759482264866</v>
          </cell>
          <cell r="J498">
            <v>14.589980820080662</v>
          </cell>
          <cell r="K498">
            <v>16.116417487645915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1.7488759482264866</v>
          </cell>
          <cell r="J499">
            <v>14.589980820080662</v>
          </cell>
          <cell r="K499">
            <v>16.116417487645915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1.74887594822649</v>
          </cell>
          <cell r="J500">
            <v>14.589980820080701</v>
          </cell>
          <cell r="K500">
            <v>16.116417487645901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0.11302977443142299</v>
          </cell>
          <cell r="J501">
            <v>3.9267053488980102</v>
          </cell>
          <cell r="K501">
            <v>0.62911736822595898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0.50415299610836495</v>
          </cell>
          <cell r="J502">
            <v>4.2058699034166018</v>
          </cell>
          <cell r="K502">
            <v>4.6458957373322196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0.64965305370245496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0.64965305370245496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90.010063918401741</v>
          </cell>
          <cell r="K506">
            <v>381.22382914380387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-90.010063918401698</v>
          </cell>
          <cell r="K507">
            <v>-381.22382914380398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0.64077006446309315</v>
          </cell>
          <cell r="K508">
            <v>2.826027333752628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0.30290948501891618</v>
          </cell>
          <cell r="K509">
            <v>1.3359401941376019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0.91780842781370708</v>
          </cell>
          <cell r="K510">
            <v>3.8291465721670668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2.2663437013690502E-2</v>
          </cell>
          <cell r="K511">
            <v>4.6487182881997297E-2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2.2663437013690502E-2</v>
          </cell>
          <cell r="K512">
            <v>6.29347988890787E-2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3.4929136469720606E-5</v>
          </cell>
          <cell r="J513">
            <v>0.24064534864914194</v>
          </cell>
          <cell r="K513">
            <v>0.2406462361343788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8.732284117430138E-4</v>
          </cell>
          <cell r="J514">
            <v>6.0161337162285413</v>
          </cell>
          <cell r="K514">
            <v>6.0161559033594525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1.0478740940916168E-4</v>
          </cell>
          <cell r="J515">
            <v>0.72193604594742511</v>
          </cell>
          <cell r="K515">
            <v>0.72193870840313468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1.1788583558530697E-3</v>
          </cell>
          <cell r="J516">
            <v>8.1217805169085278</v>
          </cell>
          <cell r="K516">
            <v>8.1218104695352675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3.0698339171935E-5</v>
          </cell>
          <cell r="J517">
            <v>0.24225252514406401</v>
          </cell>
          <cell r="K517">
            <v>4.05040502306583E-5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9.4594512484921128E-5</v>
          </cell>
          <cell r="J518">
            <v>0.24231687092297424</v>
          </cell>
          <cell r="K518">
            <v>0.24231715560929667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1211.2410472111701</v>
          </cell>
          <cell r="J519">
            <v>514.63735136244702</v>
          </cell>
          <cell r="K519">
            <v>1.2494797604871101E-3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16.161598788707291</v>
          </cell>
          <cell r="J520">
            <v>6.8671951276302616</v>
          </cell>
          <cell r="K520">
            <v>1.0722831935635693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16.434749622946729</v>
          </cell>
          <cell r="J521">
            <v>6.9828677254063329</v>
          </cell>
          <cell r="K521">
            <v>1.6953592408237569E-5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1.3515796194580884E-3</v>
          </cell>
          <cell r="J522">
            <v>9.6578817794242715E-4</v>
          </cell>
          <cell r="K522">
            <v>1.0904892293727593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32.654811220247403</v>
          </cell>
          <cell r="J523">
            <v>27.319584835324729</v>
          </cell>
          <cell r="K523">
            <v>21.022853211605824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32.654811220247403</v>
          </cell>
          <cell r="J524">
            <v>27.319584835324729</v>
          </cell>
          <cell r="K524">
            <v>21.022853211605824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3.6104633542975498E-6</v>
          </cell>
          <cell r="J525">
            <v>5.4284518088807502E-6</v>
          </cell>
          <cell r="K525">
            <v>8.2032765979511498E-6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3.7496168656293567</v>
          </cell>
          <cell r="J526">
            <v>2.4000001582643553</v>
          </cell>
          <cell r="K526">
            <v>2.4000002950888764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0.61004096478763281</v>
          </cell>
          <cell r="K527">
            <v>349.21330702255807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-0.61004096478763303</v>
          </cell>
          <cell r="K528">
            <v>-349.21330702255801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1.3520602217809373E-3</v>
          </cell>
          <cell r="K529">
            <v>0.77397658287774418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6.3640072602607102E-3</v>
          </cell>
          <cell r="K530">
            <v>3.0025358521642325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4.49305158886327E-4</v>
          </cell>
          <cell r="K531">
            <v>0.11404587878108099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2.16335493419722E-4</v>
          </cell>
          <cell r="K532">
            <v>8.4839063346622182E-2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3.5830271851683506E-3</v>
          </cell>
          <cell r="J533">
            <v>3.0826832540886313E-3</v>
          </cell>
          <cell r="K533">
            <v>7.2873955736442385E-5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0.89685054578776202</v>
          </cell>
          <cell r="J534">
            <v>0.72417492442820597</v>
          </cell>
          <cell r="K534">
            <v>1.7927229199174E-2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1.2168935492371262E-2</v>
          </cell>
          <cell r="J535">
            <v>9.825982692377307E-3</v>
          </cell>
          <cell r="K535">
            <v>2.4324598642027172E-4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1.29473481182584E-5</v>
          </cell>
          <cell r="J536">
            <v>5.0807403804496397E-6</v>
          </cell>
          <cell r="K536">
            <v>5.3985977967512898E-6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3.9363158931928641E-2</v>
          </cell>
          <cell r="J537">
            <v>2.2942382704559599E-2</v>
          </cell>
          <cell r="K537">
            <v>1.1751069581406003E-3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8.4453914384393958</v>
          </cell>
          <cell r="J538">
            <v>7.0832253876082296</v>
          </cell>
          <cell r="K538">
            <v>4.7624801614218626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8.4453914384393958</v>
          </cell>
          <cell r="J539">
            <v>7.0832253876082296</v>
          </cell>
          <cell r="K539">
            <v>4.7624801614218626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2.8632132819830904E-3</v>
          </cell>
          <cell r="J540">
            <v>1.7994591366708732E-3</v>
          </cell>
          <cell r="K540">
            <v>6.843722599563526E-4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4.4772785659247926E-3</v>
          </cell>
          <cell r="J541">
            <v>2.7518801915531795E-3</v>
          </cell>
          <cell r="K541">
            <v>1.0058297980570902E-3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1.0454502455616167E-2</v>
          </cell>
          <cell r="J542">
            <v>5.9869311841279724E-3</v>
          </cell>
          <cell r="K542">
            <v>2.4463159320467485E-3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1.15330555906283E-4</v>
          </cell>
          <cell r="J543">
            <v>2.0258725320525002E-6</v>
          </cell>
          <cell r="K543">
            <v>4.2079463374138899E-5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2.6460915732320819E-4</v>
          </cell>
          <cell r="J544">
            <v>2.1893251478025943E-4</v>
          </cell>
          <cell r="K544">
            <v>9.2096451240592005E-5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32.820798531807831</v>
          </cell>
          <cell r="J545">
            <v>32.820806080527198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98.945494980475843</v>
          </cell>
          <cell r="J546">
            <v>98.945517737745703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1.2199999382199538</v>
          </cell>
          <cell r="J547">
            <v>1.2200002101175642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5.964975187552513E-4</v>
          </cell>
          <cell r="J548">
            <v>3.9367769266142804E-4</v>
          </cell>
          <cell r="K548">
            <v>3.2161353029640623E-4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5.964975187552513E-4</v>
          </cell>
          <cell r="J549">
            <v>3.9367769266142804E-4</v>
          </cell>
          <cell r="K549">
            <v>3.2161353029640623E-4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9.9885768059360304E-5</v>
          </cell>
          <cell r="J550">
            <v>1.2122955811123101E-4</v>
          </cell>
          <cell r="K550">
            <v>5.0428672022674703E-5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1.7650028653367399E-4</v>
          </cell>
          <cell r="J551">
            <v>1.3892151745631401E-4</v>
          </cell>
          <cell r="K551">
            <v>9.1952371409199406E-5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1.1537980141096874E-5</v>
          </cell>
          <cell r="K552">
            <v>2.6385242373117714E-2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2.0369884632368E-3</v>
          </cell>
          <cell r="K553">
            <v>3.6209529372509102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3.6116816724056689E-5</v>
          </cell>
          <cell r="K554">
            <v>6.4201293213668506E-2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2.6689355799727798E-4</v>
          </cell>
          <cell r="J555">
            <v>1.1116225303626044E-3</v>
          </cell>
          <cell r="K555">
            <v>2.5567281346811424E-2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1.1082796781059501E-3</v>
          </cell>
          <cell r="J556">
            <v>1.13455635049839E-5</v>
          </cell>
          <cell r="K556">
            <v>3.3043891097275097E-2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2.6689355799727798E-4</v>
          </cell>
          <cell r="J557">
            <v>1.1116225303625992E-3</v>
          </cell>
          <cell r="K557">
            <v>2.5567281346811393E-2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5.4361830643446672E-4</v>
          </cell>
          <cell r="J558">
            <v>3.9202419293190812E-4</v>
          </cell>
          <cell r="K558">
            <v>3.6509757553407189E-4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5.477598016267643E-4</v>
          </cell>
          <cell r="J559">
            <v>3.9501078534624523E-4</v>
          </cell>
          <cell r="K559">
            <v>3.6787903052905091E-4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4.9468108598341902E-5</v>
          </cell>
          <cell r="J560">
            <v>3.1174478614138602E-6</v>
          </cell>
          <cell r="K560">
            <v>1.61573175766204E-6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1.7815300602507599E-4</v>
          </cell>
          <cell r="J561">
            <v>1.8127045388649E-4</v>
          </cell>
          <cell r="K561">
            <v>1.8288618564415201E-4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13.969549812995965</v>
          </cell>
          <cell r="J562">
            <v>12.97037539003283</v>
          </cell>
          <cell r="K562">
            <v>6.8485956113513007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13.969549812995965</v>
          </cell>
          <cell r="J563">
            <v>12.97037539003283</v>
          </cell>
          <cell r="K563">
            <v>6.8485956113513007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1.0661546124254549E-3</v>
          </cell>
          <cell r="J564">
            <v>4.6253299259988568E-4</v>
          </cell>
          <cell r="K564">
            <v>1.4295259579508429E-5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5.4830808639023329E-3</v>
          </cell>
          <cell r="J565">
            <v>2.3787411047994102E-3</v>
          </cell>
          <cell r="K565">
            <v>7.351847783747198E-5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0.81659813155369598</v>
          </cell>
          <cell r="J566">
            <v>0.33105713581175999</v>
          </cell>
          <cell r="K566">
            <v>1.12033258313215E-2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1.1080028922031162E-2</v>
          </cell>
          <cell r="J567">
            <v>4.4919557097932118E-3</v>
          </cell>
          <cell r="K567">
            <v>1.5201256216175761E-4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2.0044355075596699E-5</v>
          </cell>
          <cell r="J568">
            <v>5.3963931113551799E-5</v>
          </cell>
          <cell r="K568">
            <v>7.7435595196724094E-5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8.3104969007433919E-4</v>
          </cell>
          <cell r="J569">
            <v>2.8602793757062607E-4</v>
          </cell>
          <cell r="K569">
            <v>1.4580758270147642E-4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4.6438367291437238E-3</v>
          </cell>
          <cell r="K570">
            <v>0.24464044247110589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5.6389445996744992E-3</v>
          </cell>
          <cell r="K571">
            <v>0.3087129393087758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1.1056754117008858E-2</v>
          </cell>
          <cell r="K572">
            <v>0.58247724397882295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5.0423850554799404E-4</v>
          </cell>
          <cell r="K573">
            <v>2.4664252173115801E-2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5.0423850554799404E-4</v>
          </cell>
          <cell r="K574">
            <v>2.5168324973628323E-2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30.162363785519243</v>
          </cell>
          <cell r="J575">
            <v>40.847634641310947</v>
          </cell>
          <cell r="K575">
            <v>45.121203699660143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30.162363785519243</v>
          </cell>
          <cell r="J576">
            <v>40.847634641310947</v>
          </cell>
          <cell r="K576">
            <v>45.121203699660143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30.162363785519201</v>
          </cell>
          <cell r="J577">
            <v>40.847634641310897</v>
          </cell>
          <cell r="K577">
            <v>45.1212036996601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3.5926283346746501</v>
          </cell>
          <cell r="J578">
            <v>3.7926838834861498</v>
          </cell>
          <cell r="K578">
            <v>5.7997203021948396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8.6949342045311795</v>
          </cell>
          <cell r="J579">
            <v>11.775187815584237</v>
          </cell>
          <cell r="K579">
            <v>13.007132396680801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0.50247455087919601</v>
          </cell>
          <cell r="J580">
            <v>0.19341118897298401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3.9361180487016657E-3</v>
          </cell>
          <cell r="J581">
            <v>2.0118012660456995E-3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1.7372910414070388E-3</v>
          </cell>
          <cell r="J582">
            <v>8.9588025128597591E-4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8.9091232425389487E-3</v>
          </cell>
          <cell r="J583">
            <v>3.4292764002302099E-3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1.5394457253931892E-4</v>
          </cell>
          <cell r="J585">
            <v>7.9798072779714408E-5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0.36756270088126924</v>
          </cell>
          <cell r="J589">
            <v>0.7565296911104008</v>
          </cell>
          <cell r="K589">
            <v>0.12641471755726205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0.13817634866462511</v>
          </cell>
          <cell r="J590">
            <v>0.28439912462113148</v>
          </cell>
          <cell r="K590">
            <v>4.7522569748378062E-2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0.51673046645977116</v>
          </cell>
          <cell r="J591">
            <v>1.0376818595182233</v>
          </cell>
          <cell r="K591">
            <v>0.16710742169283099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1.00452494008105E-2</v>
          </cell>
          <cell r="J592">
            <v>1.09159365130061E-2</v>
          </cell>
          <cell r="K592">
            <v>7.6259253701743198E-7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1.0253961061984279E-2</v>
          </cell>
          <cell r="J593">
            <v>2.1103580622900985E-2</v>
          </cell>
          <cell r="K593">
            <v>3.5268037012449703E-3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3.405383326282966E-3</v>
          </cell>
          <cell r="J594">
            <v>1.4106126824389846E-3</v>
          </cell>
          <cell r="K594">
            <v>4.4662792525725585E-4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3.4085132741931454E-3</v>
          </cell>
          <cell r="J595">
            <v>1.41061268243898E-3</v>
          </cell>
          <cell r="K595">
            <v>4.4662792525725537E-4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4.1402042281346038E-3</v>
          </cell>
          <cell r="J596">
            <v>1.6682014304709796E-3</v>
          </cell>
          <cell r="K596">
            <v>3.7138049701421769E-4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4.1402042281346038E-3</v>
          </cell>
          <cell r="J597">
            <v>1.6682014304709796E-3</v>
          </cell>
          <cell r="K597">
            <v>3.7138049701421769E-4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5.54503747501348E-3</v>
          </cell>
          <cell r="J598">
            <v>1.47601551664746E-4</v>
          </cell>
          <cell r="K598">
            <v>3.4502817227611798E-5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7.3693688489555719E-3</v>
          </cell>
          <cell r="J599">
            <v>5.7134569286141522E-3</v>
          </cell>
          <cell r="K599">
            <v>2.4346989949998511E-3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5.3298562983814738E-4</v>
          </cell>
          <cell r="J600">
            <v>5.8120140522592515E-3</v>
          </cell>
          <cell r="K600">
            <v>0.15843451128203634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2.0786439563687709E-4</v>
          </cell>
          <cell r="J601">
            <v>2.2666854803811052E-3</v>
          </cell>
          <cell r="K601">
            <v>6.1789459399994119E-2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1.5187425522238003E-3</v>
          </cell>
          <cell r="J602">
            <v>1.6561334041912713E-2</v>
          </cell>
          <cell r="K602">
            <v>0.45145913989816222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3.7042501273751222E-5</v>
          </cell>
          <cell r="J603">
            <v>4.0393497663201777E-4</v>
          </cell>
          <cell r="K603">
            <v>1.1011198534101522E-2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3.9043516500587897E-5</v>
          </cell>
          <cell r="J604">
            <v>2.60436812641144E-4</v>
          </cell>
          <cell r="K604">
            <v>8.4328018988506694E-3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7.2271733899462523E-5</v>
          </cell>
          <cell r="J605">
            <v>3.0588746643234627E-4</v>
          </cell>
          <cell r="K605">
            <v>8.7238523227549675E-3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0.32968179253796054</v>
          </cell>
          <cell r="J606">
            <v>0.27401321299625769</v>
          </cell>
          <cell r="K606">
            <v>0.39290506105914952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0.32968179253796076</v>
          </cell>
          <cell r="J607">
            <v>0.27401321299625792</v>
          </cell>
          <cell r="K607">
            <v>0.39290506105915002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0.364585765467281</v>
          </cell>
          <cell r="J608">
            <v>0.30302308326038585</v>
          </cell>
          <cell r="K608">
            <v>0.43450139260754361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0.364585765467281</v>
          </cell>
          <cell r="J609">
            <v>0.30302308326038585</v>
          </cell>
          <cell r="K609">
            <v>0.43450139260754361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5.5138270948622503E-2</v>
          </cell>
          <cell r="J610">
            <v>0.13155220562447101</v>
          </cell>
          <cell r="K610">
            <v>0.183233839132388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0.18053516102200079</v>
          </cell>
          <cell r="J611">
            <v>0.20152416561754488</v>
          </cell>
          <cell r="K611">
            <v>0.25888351347410127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4.1205871222710409E-4</v>
          </cell>
          <cell r="J612">
            <v>4.6625028027649551E-4</v>
          </cell>
          <cell r="K612">
            <v>2.837228398740165E-4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4.1205871222710409E-4</v>
          </cell>
          <cell r="J613">
            <v>4.6625028027649551E-4</v>
          </cell>
          <cell r="K613">
            <v>2.837228398740165E-4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2.0328644976302399E-6</v>
          </cell>
          <cell r="J614">
            <v>2.6340764173404499E-6</v>
          </cell>
          <cell r="K614">
            <v>5.5251305630592396E-6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9.6606400084531252E-4</v>
          </cell>
          <cell r="J615">
            <v>9.6375674945714529E-4</v>
          </cell>
          <cell r="K615">
            <v>9.6923336973731011E-4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38.044751963554113</v>
          </cell>
          <cell r="J616">
            <v>18.655614163692011</v>
          </cell>
          <cell r="K616">
            <v>7.2451374983854304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38.044751963554113</v>
          </cell>
          <cell r="J617">
            <v>18.655614163692011</v>
          </cell>
          <cell r="K617">
            <v>7.2451374983854304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3.0801552779027699E-6</v>
          </cell>
          <cell r="J618">
            <v>4.5134550819362002E-6</v>
          </cell>
          <cell r="K618">
            <v>6.8141963482933603E-6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2.4007414149440862</v>
          </cell>
          <cell r="J619">
            <v>2.2479494389356822</v>
          </cell>
          <cell r="K619">
            <v>1.3791592137322368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1.5819162853142055E-2</v>
          </cell>
          <cell r="J620">
            <v>1.0704670023776884E-2</v>
          </cell>
          <cell r="K620">
            <v>1.4853657444638589E-2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1.5833702524882039E-2</v>
          </cell>
          <cell r="J621">
            <v>1.0704670023776845E-2</v>
          </cell>
          <cell r="K621">
            <v>1.4853657444638572E-2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1.920103912078534E-2</v>
          </cell>
          <cell r="J622">
            <v>1.2602386537933869E-2</v>
          </cell>
          <cell r="K622">
            <v>1.6512859608592535E-2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1.920103912078534E-2</v>
          </cell>
          <cell r="J623">
            <v>1.2602386537933869E-2</v>
          </cell>
          <cell r="K623">
            <v>1.6512859608592535E-2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1.04499172412686E-2</v>
          </cell>
          <cell r="J624">
            <v>5.7045416071339298E-4</v>
          </cell>
          <cell r="K624">
            <v>2.4703235949087498E-3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1.1862173357248741E-2</v>
          </cell>
          <cell r="J625">
            <v>1.1073938355872233E-2</v>
          </cell>
          <cell r="K625">
            <v>7.2672213052968606E-3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1.3176093791170465E-3</v>
          </cell>
          <cell r="J626">
            <v>2.2273709390311796</v>
          </cell>
          <cell r="K626">
            <v>1.6031715107605848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1.3176093791170465E-3</v>
          </cell>
          <cell r="J627">
            <v>2.2273709390311796</v>
          </cell>
          <cell r="K627">
            <v>1.6031715107605848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5.1518877280145098E-6</v>
          </cell>
          <cell r="J628">
            <v>7.6114851292005897E-6</v>
          </cell>
          <cell r="K628">
            <v>1.2287876601337699E-5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0.28903469320919006</v>
          </cell>
          <cell r="J629">
            <v>1.1926016272446698</v>
          </cell>
          <cell r="K629">
            <v>1.19260973412218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3.4184891869322519E-2</v>
          </cell>
          <cell r="J630">
            <v>0.23986671505283064</v>
          </cell>
          <cell r="K630">
            <v>0.31516728131155058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3.4184891869322553E-2</v>
          </cell>
          <cell r="J631">
            <v>0.2398667150528308</v>
          </cell>
          <cell r="K631">
            <v>0.31516728131155097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3.7806145583827111E-2</v>
          </cell>
          <cell r="J632">
            <v>0.26526167326570832</v>
          </cell>
          <cell r="K632">
            <v>0.34853391863731714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3.7806145583827111E-2</v>
          </cell>
          <cell r="J633">
            <v>0.26526167326570832</v>
          </cell>
          <cell r="K633">
            <v>0.34853391863731714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7.6240288557269898E-3</v>
          </cell>
          <cell r="J634">
            <v>0.16775947575497099</v>
          </cell>
          <cell r="K634">
            <v>0.120522883710203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1.4230535531807089E-2</v>
          </cell>
          <cell r="J635">
            <v>0.17547314083997881</v>
          </cell>
          <cell r="K635">
            <v>0.20599248598928849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1.3601058982172455E-2</v>
          </cell>
          <cell r="J636">
            <v>5.7691025517179646E-3</v>
          </cell>
          <cell r="K636">
            <v>7.2908490211484459E-4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2.3047037802459576E-3</v>
          </cell>
          <cell r="J637">
            <v>1.1390045818487939E-3</v>
          </cell>
          <cell r="K637">
            <v>2.149268136721574E-4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3.4511435100612999</v>
          </cell>
          <cell r="J638">
            <v>1.70558503191158</v>
          </cell>
          <cell r="K638">
            <v>0.32183887773363301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3.7189046444626062E-2</v>
          </cell>
          <cell r="J639">
            <v>1.8379149050771353E-2</v>
          </cell>
          <cell r="K639">
            <v>3.4680913548882858E-3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2.3760108134296701E-6</v>
          </cell>
          <cell r="J640">
            <v>1.99828888482119E-7</v>
          </cell>
          <cell r="K640">
            <v>6.7590478208254298E-8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5.4316528136842505E-4</v>
          </cell>
          <cell r="J641">
            <v>4.6606836130933665E-4</v>
          </cell>
          <cell r="K641">
            <v>1.185896491435667E-4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1.2491946699796801E-2</v>
          </cell>
          <cell r="J642">
            <v>1.9720798868560381E-2</v>
          </cell>
          <cell r="K642">
            <v>8.4865833890591921E-2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1.2491946699796787E-2</v>
          </cell>
          <cell r="J643">
            <v>1.9720798868560357E-2</v>
          </cell>
          <cell r="K643">
            <v>8.486583389059181E-2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1.7852827893906083E-2</v>
          </cell>
          <cell r="J644">
            <v>2.818048286296921E-2</v>
          </cell>
          <cell r="K644">
            <v>0.12124209386604323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1.7852827893906083E-2</v>
          </cell>
          <cell r="J645">
            <v>2.818048286296921E-2</v>
          </cell>
          <cell r="K645">
            <v>0.12124209386604323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1.33705845588925E-6</v>
          </cell>
          <cell r="J646">
            <v>1.4216362598558899E-6</v>
          </cell>
          <cell r="K646">
            <v>9.3531312446631899E-7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9.9997849639445927E-2</v>
          </cell>
          <cell r="J647">
            <v>9.9998356215975623E-2</v>
          </cell>
          <cell r="K647">
            <v>9.9998579930351536E-2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1.2421190673452979E-4</v>
          </cell>
          <cell r="J648">
            <v>1.2428682070868261E-4</v>
          </cell>
          <cell r="K648">
            <v>1.2598952457133089E-4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1.2421190673452979E-4</v>
          </cell>
          <cell r="J649">
            <v>1.2428682070868261E-4</v>
          </cell>
          <cell r="K649">
            <v>1.2598952457133089E-4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1.2421190673453001E-4</v>
          </cell>
          <cell r="J650">
            <v>1.2428682070868299E-4</v>
          </cell>
          <cell r="K650">
            <v>1.25989524571331E-4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4.9678455792504799E-6</v>
          </cell>
          <cell r="J651">
            <v>9.5688435153505503E-7</v>
          </cell>
          <cell r="K651">
            <v>1.27406701503763E-5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2.9363733741207499E-5</v>
          </cell>
          <cell r="J652">
            <v>3.0320618092742601E-5</v>
          </cell>
          <cell r="K652">
            <v>2.40000427043855E-5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2.8873708318093798</v>
          </cell>
          <cell r="J653">
            <v>0.40801716431130503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2.9946087156743784E-2</v>
          </cell>
          <cell r="J654">
            <v>4.236254008387454E-3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1.4668452756113783E-2</v>
          </cell>
          <cell r="J655">
            <v>2.1009064594441841E-3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5.119451829449264E-2</v>
          </cell>
          <cell r="J656">
            <v>7.2343468849522165E-3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1.0879447399787159E-3</v>
          </cell>
          <cell r="J658">
            <v>3.7808267489966444E-4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1.40567752731763E-3</v>
          </cell>
          <cell r="J659">
            <v>9.91442212350338</v>
          </cell>
          <cell r="K659">
            <v>10.490094718803215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1.4198762902198291E-3</v>
          </cell>
          <cell r="J660">
            <v>10.014567801518554</v>
          </cell>
          <cell r="K660">
            <v>10.596055271518402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1.74508024841001E-4</v>
          </cell>
          <cell r="J661">
            <v>1.3312145041604899</v>
          </cell>
          <cell r="K661">
            <v>7.7300473766599306E-2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2.5215596783276798E-4</v>
          </cell>
          <cell r="J662">
            <v>1.33146666012833</v>
          </cell>
          <cell r="K662">
            <v>1.4087671338949199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2.9946595639826699</v>
          </cell>
          <cell r="J663">
            <v>2.9498746804029392</v>
          </cell>
          <cell r="K663">
            <v>2.8718142141048943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2.9946595639826699</v>
          </cell>
          <cell r="J664">
            <v>2.9498746804029392</v>
          </cell>
          <cell r="K664">
            <v>2.8718142141048943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1.1649736873373264</v>
          </cell>
          <cell r="J665">
            <v>1.0059588732980693</v>
          </cell>
          <cell r="K665">
            <v>1.0059596231156345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1.1059991663876836</v>
          </cell>
          <cell r="J666">
            <v>1.1059952646560558</v>
          </cell>
          <cell r="K666">
            <v>1.1059960890383447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2.9946595639826699</v>
          </cell>
          <cell r="J667">
            <v>2.9498746804029392</v>
          </cell>
          <cell r="K667">
            <v>2.8718142141048943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4.4081802706105497E-2</v>
          </cell>
          <cell r="J668">
            <v>3.11557752968608E-2</v>
          </cell>
          <cell r="K668">
            <v>4.34917376479265E-2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8.4750768226443479E-2</v>
          </cell>
          <cell r="J669">
            <v>8.4749048658237805E-2</v>
          </cell>
          <cell r="K669">
            <v>8.474857690572965E-2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5.9192064982826198E-3</v>
          </cell>
          <cell r="J670">
            <v>1.0627505517486082E-2</v>
          </cell>
          <cell r="K670">
            <v>1.1944058701328874E-2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4.0909447640664724E-3</v>
          </cell>
          <cell r="J671">
            <v>6.6913923628616114E-3</v>
          </cell>
          <cell r="K671">
            <v>6.750989700751108E-3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1.1663461080359833E-2</v>
          </cell>
          <cell r="J672">
            <v>1.9680565773122355E-2</v>
          </cell>
          <cell r="K672">
            <v>2.0772276002311085E-2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3.3885120134209999E-5</v>
          </cell>
          <cell r="J673">
            <v>3.7355729219347899E-4</v>
          </cell>
          <cell r="K673">
            <v>4.19266889452878E-4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3.5110545180600222E-4</v>
          </cell>
          <cell r="J674">
            <v>6.2397054411420546E-4</v>
          </cell>
          <cell r="K674">
            <v>7.0451440388517319E-4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0.3287135688944649</v>
          </cell>
          <cell r="J675">
            <v>0.27088112793764929</v>
          </cell>
          <cell r="K675">
            <v>0.35320376115328411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0.32871356889446529</v>
          </cell>
          <cell r="J676">
            <v>0.27088112793764946</v>
          </cell>
          <cell r="K676">
            <v>0.35320376115328439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0.36351504102493404</v>
          </cell>
          <cell r="J677">
            <v>0.29955942065484392</v>
          </cell>
          <cell r="K677">
            <v>0.39059712267185737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0.36351504102493404</v>
          </cell>
          <cell r="J678">
            <v>0.29955942065484392</v>
          </cell>
          <cell r="K678">
            <v>0.39059712267185737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5.51399430865765E-2</v>
          </cell>
          <cell r="J679">
            <v>0.13018667794144001</v>
          </cell>
          <cell r="K679">
            <v>0.168794900265858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0.18000500894039725</v>
          </cell>
          <cell r="J680">
            <v>0.20006681374178684</v>
          </cell>
          <cell r="K680">
            <v>0.24376004869755552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587.86944803340805</v>
          </cell>
          <cell r="J681">
            <v>195.21604894817099</v>
          </cell>
          <cell r="K681">
            <v>87.735311341749295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0.31685418705362506</v>
          </cell>
          <cell r="J682">
            <v>0.18200404027151629</v>
          </cell>
          <cell r="K682">
            <v>0.12429699184659726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12.809408348014363</v>
          </cell>
          <cell r="J683">
            <v>5.8700000152633054</v>
          </cell>
          <cell r="K683">
            <v>4.0076603991531918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10.423217163712916</v>
          </cell>
          <cell r="J684">
            <v>3.4612774636200458</v>
          </cell>
          <cell r="K684">
            <v>1.5555906266267603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2.4284265125864293</v>
          </cell>
          <cell r="J685">
            <v>2.4284281731219908</v>
          </cell>
          <cell r="K685">
            <v>2.4657021513765938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0.31685321387818333</v>
          </cell>
          <cell r="J686">
            <v>0.18200150309329099</v>
          </cell>
          <cell r="K686">
            <v>0.12428556845826194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6.3389896674529497E-6</v>
          </cell>
          <cell r="J687">
            <v>4.7821480988351704E-6</v>
          </cell>
          <cell r="K687">
            <v>1.03088712078142E-5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1.9844957629659306</v>
          </cell>
          <cell r="J688">
            <v>1.9845005451140294</v>
          </cell>
          <cell r="K688">
            <v>1.0954869211650571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3.6359136971127484</v>
          </cell>
          <cell r="J689">
            <v>7.1993686268488046</v>
          </cell>
          <cell r="K689">
            <v>28.866691214106275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3.6359136971127484</v>
          </cell>
          <cell r="J690">
            <v>7.1993686268488046</v>
          </cell>
          <cell r="K690">
            <v>28.866691214106275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0.74282829863918898</v>
          </cell>
          <cell r="J691">
            <v>9.7323486510094905E-6</v>
          </cell>
          <cell r="K691">
            <v>6.4927855300363797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0.60450662307696579</v>
          </cell>
          <cell r="J692">
            <v>1.1969656317551769</v>
          </cell>
          <cell r="K692">
            <v>4.7993645480607396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1.1677397642685474</v>
          </cell>
          <cell r="K693">
            <v>7.4589153396247143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7.7849317617903182</v>
          </cell>
          <cell r="K694">
            <v>49.726102264164759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0.29600066469796799</v>
          </cell>
          <cell r="K695">
            <v>1.7866169119199199E-6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4.6338895106723101E-2</v>
          </cell>
          <cell r="K696">
            <v>0.29599837298286147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0.81958070322726606</v>
          </cell>
          <cell r="J697">
            <v>1.0403624874905346</v>
          </cell>
          <cell r="K697">
            <v>1.0853210851587736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0.81958070322726606</v>
          </cell>
          <cell r="J698">
            <v>1.0403624874905346</v>
          </cell>
          <cell r="K698">
            <v>1.0853210851587736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4.6113989734511458</v>
          </cell>
          <cell r="J699">
            <v>4.8948151995208784</v>
          </cell>
          <cell r="K699">
            <v>5.5149497368613893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4.6113989734511458</v>
          </cell>
          <cell r="J700">
            <v>4.8948151995208784</v>
          </cell>
          <cell r="K700">
            <v>5.5149497368613893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4.6113989734511502</v>
          </cell>
          <cell r="J701">
            <v>4.8948151995208802</v>
          </cell>
          <cell r="K701">
            <v>5.5149497368613902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0.29985265847017301</v>
          </cell>
          <cell r="J702">
            <v>0.66480869757544903</v>
          </cell>
          <cell r="K702">
            <v>0.68603212835616201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1.3293349705057349</v>
          </cell>
          <cell r="J703">
            <v>1.4110364281344081</v>
          </cell>
          <cell r="K703">
            <v>1.58980175745481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8.7021597576200389E-3</v>
          </cell>
          <cell r="K704">
            <v>2.9823172007815504E-2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-8.7021597576200406E-3</v>
          </cell>
          <cell r="K705">
            <v>-2.98231720078155E-2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5.7862229470339197E-5</v>
          </cell>
          <cell r="K706">
            <v>1.9008605371538791E-4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1.2066994863899801E-5</v>
          </cell>
          <cell r="K707">
            <v>2.7139086527112083E-5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2.9062101266544601E-3</v>
          </cell>
          <cell r="K708">
            <v>3.2280833029297001E-3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2.9062101266544601E-3</v>
          </cell>
          <cell r="K709">
            <v>5.3193349332129559E-3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0.73247439027014927</v>
          </cell>
          <cell r="J710">
            <v>0.73062242378505271</v>
          </cell>
          <cell r="K710">
            <v>0.7376182186368484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0.73247439027014927</v>
          </cell>
          <cell r="J711">
            <v>0.73062242378505271</v>
          </cell>
          <cell r="K711">
            <v>0.7376182186368484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2.4748648004285398E-6</v>
          </cell>
          <cell r="J712">
            <v>4.9560464790098999E-7</v>
          </cell>
          <cell r="K712">
            <v>6.6126985241437403E-8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7.5236730631507806E-2</v>
          </cell>
          <cell r="J713">
            <v>7.5237226236155794E-2</v>
          </cell>
          <cell r="K713">
            <v>7.5237292363141001E-2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0.11113547129349351</v>
          </cell>
          <cell r="J714">
            <v>1.3811952344451206</v>
          </cell>
          <cell r="K714">
            <v>2.6583565438757244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0.11113547129349345</v>
          </cell>
          <cell r="J715">
            <v>1.3811952344451199</v>
          </cell>
          <cell r="K715">
            <v>2.6583565438757244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0.12428053474314817</v>
          </cell>
          <cell r="J716">
            <v>1.5444963177919218</v>
          </cell>
          <cell r="K716">
            <v>2.9726567669716411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0.12428053474314817</v>
          </cell>
          <cell r="J717">
            <v>1.5444963177919218</v>
          </cell>
          <cell r="K717">
            <v>2.9726567669716411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2.2162808638747301E-2</v>
          </cell>
          <cell r="J718">
            <v>0.40415633475096002</v>
          </cell>
          <cell r="K718">
            <v>0.60562956748461105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3.4501257678643968E-2</v>
          </cell>
          <cell r="J719">
            <v>0.42822113048497035</v>
          </cell>
          <cell r="K719">
            <v>0.81220447130134465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3.4282858365440129E-2</v>
          </cell>
          <cell r="J720">
            <v>0.23967694012402702</v>
          </cell>
          <cell r="K720">
            <v>0.31545494877229191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3.4282858365440171E-2</v>
          </cell>
          <cell r="J721">
            <v>0.23967694012402715</v>
          </cell>
          <cell r="K721">
            <v>0.3154549487722923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3.7914483283106495E-2</v>
          </cell>
          <cell r="J722">
            <v>0.26505180785272942</v>
          </cell>
          <cell r="K722">
            <v>0.34885203995524838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3.7914483283106495E-2</v>
          </cell>
          <cell r="J723">
            <v>0.26505180785272942</v>
          </cell>
          <cell r="K723">
            <v>0.34885203995524838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7.6638840915908999E-3</v>
          </cell>
          <cell r="J724">
            <v>0.167574933673866</v>
          </cell>
          <cell r="K724">
            <v>0.12081299956144299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1.4272624215037825E-2</v>
          </cell>
          <cell r="J725">
            <v>0.17532789719205469</v>
          </cell>
          <cell r="K725">
            <v>0.20619704714911025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3.7359262075944917E-4</v>
          </cell>
          <cell r="K726">
            <v>3.7747253440832505E-4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4.3952073030523398E-4</v>
          </cell>
          <cell r="K727">
            <v>4.4408533459802945E-4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2.42662623288674E-5</v>
          </cell>
          <cell r="K728">
            <v>5.4365835722609999E-7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2.42662623288674E-5</v>
          </cell>
          <cell r="K729">
            <v>2.4809920686093502E-5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5.4617180300952327E-3</v>
          </cell>
          <cell r="J730">
            <v>5.199040824861805E-3</v>
          </cell>
          <cell r="K730">
            <v>4.990178676185935E-3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5.4617180300952327E-3</v>
          </cell>
          <cell r="J731">
            <v>5.199040824861805E-3</v>
          </cell>
          <cell r="K731">
            <v>4.990178676185935E-3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6.8240917918144474E-3</v>
          </cell>
          <cell r="J732">
            <v>6.4957559028242726E-3</v>
          </cell>
          <cell r="K732">
            <v>6.2346698364445143E-3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6.8240917918144474E-3</v>
          </cell>
          <cell r="J733">
            <v>6.4957559028242726E-3</v>
          </cell>
          <cell r="K733">
            <v>6.2346698364445143E-3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2.3031661776213099E-7</v>
          </cell>
          <cell r="J734">
            <v>3.45962295158598E-7</v>
          </cell>
          <cell r="K734">
            <v>1.1258809863405099E-6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5.0332415580905997E-4</v>
          </cell>
          <cell r="J735">
            <v>5.03561320754904E-4</v>
          </cell>
          <cell r="K735">
            <v>5.0424781137095695E-4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2240.4531352805998</v>
          </cell>
          <cell r="J736">
            <v>2460.2767266914402</v>
          </cell>
          <cell r="K736">
            <v>2552.9145442214499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48.285674954126527</v>
          </cell>
          <cell r="J737">
            <v>53.023205316625784</v>
          </cell>
          <cell r="K737">
            <v>55.019710004772634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24.142813957765121</v>
          </cell>
          <cell r="J738">
            <v>26.511602658312896</v>
          </cell>
          <cell r="K738">
            <v>27.509855002386313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24.142813957765121</v>
          </cell>
          <cell r="J739">
            <v>26.511602658312896</v>
          </cell>
          <cell r="K739">
            <v>27.509855002386313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772.41761954407741</v>
          </cell>
          <cell r="E4">
            <v>1055.5782244319676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720.88718455884873</v>
          </cell>
          <cell r="E5">
            <v>894.33943413287739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51.222879265905341</v>
          </cell>
          <cell r="E6">
            <v>54.787334374624649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0.30755571932392284</v>
          </cell>
          <cell r="E7">
            <v>106.45145592446698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607.22272771806604</v>
          </cell>
          <cell r="E8">
            <v>2395.4534893070809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677.34471273899305</v>
          </cell>
          <cell r="E9">
            <v>2285.5701177151172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222.81575973802978</v>
          </cell>
          <cell r="E10">
            <v>351.71945039019766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7.5236316959522593</v>
          </cell>
          <cell r="E11">
            <v>37.989051403192192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90.010063918401741</v>
          </cell>
          <cell r="E12">
            <v>381.22382914380387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0.61004096478763281</v>
          </cell>
          <cell r="E13">
            <v>349.21330702255807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0.26758354137525586</v>
          </cell>
          <cell r="E14">
            <v>857.65665557011209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2.027441874676153E-2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8.7021597576200389E-3</v>
          </cell>
          <cell r="E16">
            <v>2.9823172007815504E-2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1605.7492502577941</v>
          </cell>
          <cell r="E17">
            <v>6658.8157470020915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833.33163071371951</v>
          </cell>
          <cell r="E18">
            <v>3461.5395456377323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833.33163071371951</v>
          </cell>
          <cell r="E19">
            <v>3461.5395456377323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E20">
            <v>2141.6979769324084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E21">
            <v>2141.6979769324084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17.5339273897706</v>
          </cell>
          <cell r="I4">
            <v>29.8067894999452</v>
          </cell>
          <cell r="J4">
            <v>80.055542526919794</v>
          </cell>
        </row>
        <row r="5">
          <cell r="A5" t="str">
            <v>EXPELC_DE</v>
          </cell>
          <cell r="C5" t="str">
            <v>ELC_E-DE</v>
          </cell>
          <cell r="H5">
            <v>1.8400064447442975E-3</v>
          </cell>
          <cell r="I5">
            <v>2.437011646656417E-2</v>
          </cell>
          <cell r="J5">
            <v>1.2721333021544627E-2</v>
          </cell>
        </row>
        <row r="6">
          <cell r="A6" t="str">
            <v>IMPDSL</v>
          </cell>
          <cell r="C6" t="str">
            <v>DSL</v>
          </cell>
          <cell r="H6">
            <v>31.97732848277191</v>
          </cell>
          <cell r="I6">
            <v>15.913270204032933</v>
          </cell>
        </row>
        <row r="7">
          <cell r="A7" t="str">
            <v>IMPH2</v>
          </cell>
          <cell r="C7" t="str">
            <v>H2</v>
          </cell>
          <cell r="I7">
            <v>1.4086001574231739E-5</v>
          </cell>
          <cell r="J7">
            <v>1.3243397891127236E-5</v>
          </cell>
        </row>
        <row r="8">
          <cell r="A8" t="str">
            <v>IMPELC_AT</v>
          </cell>
          <cell r="C8" t="str">
            <v>ELC_I-AT</v>
          </cell>
          <cell r="H8">
            <v>0.13787899173348456</v>
          </cell>
          <cell r="I8">
            <v>6.7554818304531264E-2</v>
          </cell>
          <cell r="J8">
            <v>6.887344544689447</v>
          </cell>
        </row>
        <row r="9">
          <cell r="A9" t="str">
            <v>IMPELC_AT</v>
          </cell>
          <cell r="C9" t="str">
            <v>ELCS</v>
          </cell>
          <cell r="H9">
            <v>0.13787899173348456</v>
          </cell>
          <cell r="I9">
            <v>6.7554818304531264E-2</v>
          </cell>
          <cell r="J9">
            <v>6.887344544689447</v>
          </cell>
        </row>
        <row r="10">
          <cell r="A10" t="str">
            <v>IMPELC_FR</v>
          </cell>
          <cell r="C10" t="str">
            <v>ELC_I-FR</v>
          </cell>
          <cell r="H10">
            <v>18.125871444879316</v>
          </cell>
          <cell r="I10">
            <v>8.8482874024139626</v>
          </cell>
          <cell r="J10">
            <v>6.506277262311233</v>
          </cell>
        </row>
        <row r="11">
          <cell r="A11" t="str">
            <v>IMPELC_FR</v>
          </cell>
          <cell r="C11" t="str">
            <v>ELCS</v>
          </cell>
          <cell r="H11">
            <v>18.125871444879316</v>
          </cell>
          <cell r="I11">
            <v>8.8482874024139626</v>
          </cell>
          <cell r="J11">
            <v>6.506277262311233</v>
          </cell>
        </row>
        <row r="12">
          <cell r="A12" t="str">
            <v>RNWHYDR1</v>
          </cell>
          <cell r="C12" t="str">
            <v>HYDR</v>
          </cell>
          <cell r="H12">
            <v>63.871732700338747</v>
          </cell>
          <cell r="I12">
            <v>64.430908432464179</v>
          </cell>
          <cell r="J12">
            <v>67.134967183378791</v>
          </cell>
        </row>
        <row r="13">
          <cell r="A13" t="str">
            <v>EXPELC_IT</v>
          </cell>
          <cell r="C13" t="str">
            <v>ELC_E-IT</v>
          </cell>
          <cell r="H13">
            <v>32.654811220247403</v>
          </cell>
          <cell r="I13">
            <v>27.319584835324729</v>
          </cell>
          <cell r="J13">
            <v>21.022853211605824</v>
          </cell>
        </row>
        <row r="14">
          <cell r="A14" t="str">
            <v>IMPLNG</v>
          </cell>
          <cell r="C14" t="str">
            <v>LBIO</v>
          </cell>
          <cell r="H14">
            <v>3.2713780538133463E-3</v>
          </cell>
          <cell r="I14">
            <v>7.8905709587123675E-4</v>
          </cell>
          <cell r="J14">
            <v>2.0734859552378796E-5</v>
          </cell>
        </row>
        <row r="15">
          <cell r="A15" t="str">
            <v>IMPLNG</v>
          </cell>
          <cell r="C15" t="str">
            <v>LNGA</v>
          </cell>
          <cell r="H15">
            <v>6.0415469593299133E-3</v>
          </cell>
          <cell r="I15">
            <v>4.3451944636472206E-3</v>
          </cell>
          <cell r="J15">
            <v>2.1322414198110956E-5</v>
          </cell>
        </row>
        <row r="16">
          <cell r="A16" t="str">
            <v>IMPURN1</v>
          </cell>
          <cell r="C16" t="str">
            <v>URN</v>
          </cell>
          <cell r="H16">
            <v>167.60312820269226</v>
          </cell>
          <cell r="I16">
            <v>98.945517737745703</v>
          </cell>
        </row>
        <row r="17">
          <cell r="A17" t="str">
            <v>EXPELC_AT</v>
          </cell>
          <cell r="C17" t="str">
            <v>ELC_E-AT</v>
          </cell>
          <cell r="H17">
            <v>4.1205871222710409E-4</v>
          </cell>
          <cell r="I17">
            <v>4.6625028027649551E-4</v>
          </cell>
          <cell r="J17">
            <v>2.837228398740165E-4</v>
          </cell>
        </row>
        <row r="18">
          <cell r="A18" t="str">
            <v>EXPELC_FR</v>
          </cell>
          <cell r="C18" t="str">
            <v>ELC_E-FR</v>
          </cell>
          <cell r="H18">
            <v>1.3176093791170465E-3</v>
          </cell>
          <cell r="I18">
            <v>2.2273709390311796</v>
          </cell>
          <cell r="J18">
            <v>1.6031715107605848</v>
          </cell>
        </row>
        <row r="19">
          <cell r="A19" t="str">
            <v>RNWWND1</v>
          </cell>
          <cell r="C19" t="str">
            <v>WND</v>
          </cell>
          <cell r="H19">
            <v>0.87514074526123331</v>
          </cell>
          <cell r="I19">
            <v>0.87515246303129035</v>
          </cell>
          <cell r="J19">
            <v>0.87514602756884419</v>
          </cell>
        </row>
        <row r="20">
          <cell r="A20" t="str">
            <v>RNWWND2</v>
          </cell>
          <cell r="C20" t="str">
            <v>WND</v>
          </cell>
          <cell r="H20">
            <v>2.3068387419345937</v>
          </cell>
          <cell r="I20">
            <v>2.3070447836951318</v>
          </cell>
          <cell r="J20">
            <v>2.3070859897692197</v>
          </cell>
        </row>
        <row r="21">
          <cell r="A21" t="str">
            <v>RNWMNR1</v>
          </cell>
          <cell r="C21" t="str">
            <v>MNR</v>
          </cell>
          <cell r="H21">
            <v>12.540446443787125</v>
          </cell>
          <cell r="I21">
            <v>12.540431056114359</v>
          </cell>
          <cell r="J21">
            <v>12.540429499337302</v>
          </cell>
        </row>
        <row r="22">
          <cell r="A22" t="str">
            <v>RNWWND3</v>
          </cell>
          <cell r="C22" t="str">
            <v>WND</v>
          </cell>
          <cell r="H22">
            <v>0.44630901997194022</v>
          </cell>
          <cell r="I22">
            <v>4.0103633452351595</v>
          </cell>
          <cell r="J22">
            <v>6.174157655855109</v>
          </cell>
        </row>
        <row r="23">
          <cell r="A23" t="str">
            <v>RNWMNR2</v>
          </cell>
          <cell r="C23" t="str">
            <v>MNR</v>
          </cell>
          <cell r="I23">
            <v>2.0900728738568759</v>
          </cell>
          <cell r="J23">
            <v>6.2702048733071676</v>
          </cell>
        </row>
        <row r="24">
          <cell r="A24" t="str">
            <v>RNWWND4</v>
          </cell>
          <cell r="C24" t="str">
            <v>WND</v>
          </cell>
          <cell r="H24">
            <v>5.1636357549781587E-3</v>
          </cell>
          <cell r="I24">
            <v>4.7182214541055456E-3</v>
          </cell>
          <cell r="J24">
            <v>13.500741048668569</v>
          </cell>
        </row>
        <row r="25">
          <cell r="A25" t="str">
            <v>RNWMNR3</v>
          </cell>
          <cell r="C25" t="str">
            <v>MNR</v>
          </cell>
          <cell r="I25">
            <v>2.7297849258890419</v>
          </cell>
          <cell r="J25">
            <v>2.142777545443337E-3</v>
          </cell>
        </row>
        <row r="26">
          <cell r="A26" t="str">
            <v>IMPLFO1</v>
          </cell>
          <cell r="C26" t="str">
            <v>LFO</v>
          </cell>
          <cell r="H26">
            <v>34.201740938514433</v>
          </cell>
          <cell r="I26">
            <v>16.955653089462977</v>
          </cell>
        </row>
        <row r="27">
          <cell r="A27" t="str">
            <v>RNWWND5</v>
          </cell>
          <cell r="C27" t="str">
            <v>WND</v>
          </cell>
          <cell r="H27">
            <v>2.5366297238532455E-3</v>
          </cell>
          <cell r="I27">
            <v>2.1377590732625613E-3</v>
          </cell>
          <cell r="J27">
            <v>6.0096008284974411</v>
          </cell>
        </row>
        <row r="28">
          <cell r="A28" t="str">
            <v>IMPBNGA</v>
          </cell>
          <cell r="C28" t="str">
            <v>BIO</v>
          </cell>
          <cell r="H28">
            <v>1.2761827014483962</v>
          </cell>
          <cell r="I28">
            <v>8.9339938638875629E-4</v>
          </cell>
          <cell r="J28">
            <v>4.0095567819297594E-4</v>
          </cell>
        </row>
        <row r="29">
          <cell r="A29" t="str">
            <v>RNWGEO1</v>
          </cell>
          <cell r="C29" t="str">
            <v>GEO</v>
          </cell>
          <cell r="I29">
            <v>7.7478368401968707</v>
          </cell>
          <cell r="J29">
            <v>21.359992896196903</v>
          </cell>
        </row>
        <row r="30">
          <cell r="A30" t="str">
            <v>RNWGEO2</v>
          </cell>
          <cell r="C30" t="str">
            <v>GEO</v>
          </cell>
          <cell r="I30">
            <v>2.0692476043275058E-2</v>
          </cell>
          <cell r="J30">
            <v>28.319934515239861</v>
          </cell>
        </row>
        <row r="31">
          <cell r="A31" t="str">
            <v>IMPKERintl</v>
          </cell>
          <cell r="C31" t="str">
            <v>KERintl</v>
          </cell>
          <cell r="H31">
            <v>70.135709599498199</v>
          </cell>
          <cell r="I31">
            <v>52.508774377191301</v>
          </cell>
        </row>
        <row r="32">
          <cell r="A32" t="str">
            <v>RNWGEO3</v>
          </cell>
          <cell r="C32" t="str">
            <v>GEO</v>
          </cell>
          <cell r="I32">
            <v>7.350259063946654E-3</v>
          </cell>
          <cell r="J32">
            <v>3.0256204405910488E-2</v>
          </cell>
        </row>
        <row r="33">
          <cell r="A33" t="str">
            <v>RNWGEO4</v>
          </cell>
          <cell r="C33" t="str">
            <v>GEO</v>
          </cell>
          <cell r="I33">
            <v>5.4009671037612899E-3</v>
          </cell>
          <cell r="J33">
            <v>1.0032162842326053E-2</v>
          </cell>
        </row>
        <row r="34">
          <cell r="A34" t="str">
            <v>RNWGEO5</v>
          </cell>
          <cell r="C34" t="str">
            <v>GEO</v>
          </cell>
          <cell r="I34">
            <v>4.1383697236923962E-3</v>
          </cell>
          <cell r="J34">
            <v>6.3685122768573797E-3</v>
          </cell>
        </row>
        <row r="35">
          <cell r="A35" t="str">
            <v>IMPGSL</v>
          </cell>
          <cell r="C35" t="str">
            <v>GSL</v>
          </cell>
          <cell r="H35">
            <v>16.891886759322894</v>
          </cell>
          <cell r="I35">
            <v>2.7337661333351373</v>
          </cell>
        </row>
        <row r="36">
          <cell r="A36" t="str">
            <v>RNWWOD1</v>
          </cell>
          <cell r="C36" t="str">
            <v>WOD</v>
          </cell>
          <cell r="H36">
            <v>16.424570371013104</v>
          </cell>
          <cell r="I36">
            <v>17.113644049677017</v>
          </cell>
          <cell r="J36">
            <v>18.429673853363411</v>
          </cell>
        </row>
        <row r="37">
          <cell r="A37" t="str">
            <v>RNWWOD2</v>
          </cell>
          <cell r="C37" t="str">
            <v>WOD</v>
          </cell>
          <cell r="H37">
            <v>7.6690275991777703</v>
          </cell>
          <cell r="I37">
            <v>7.669028643981771</v>
          </cell>
          <cell r="J37">
            <v>7.6690296816807875</v>
          </cell>
        </row>
        <row r="38">
          <cell r="A38" t="str">
            <v>RNWWOD3</v>
          </cell>
          <cell r="C38" t="str">
            <v>WOD</v>
          </cell>
          <cell r="H38">
            <v>4.8053864134363575</v>
          </cell>
          <cell r="I38">
            <v>4.8053877458874314</v>
          </cell>
          <cell r="J38">
            <v>4.80538666467422</v>
          </cell>
        </row>
        <row r="39">
          <cell r="A39" t="str">
            <v>RNWWOD4</v>
          </cell>
          <cell r="C39" t="str">
            <v>WOD</v>
          </cell>
          <cell r="H39">
            <v>24.23078701042451</v>
          </cell>
          <cell r="I39">
            <v>24.230793480135588</v>
          </cell>
          <cell r="J39">
            <v>24.23079789526837</v>
          </cell>
        </row>
        <row r="40">
          <cell r="A40" t="str">
            <v>RNWWOD5</v>
          </cell>
          <cell r="C40" t="str">
            <v>WOD</v>
          </cell>
          <cell r="H40">
            <v>0.35266796127351036</v>
          </cell>
          <cell r="I40">
            <v>2.4834196242257471</v>
          </cell>
          <cell r="J40">
            <v>1.167400864633833</v>
          </cell>
        </row>
        <row r="41">
          <cell r="A41" t="str">
            <v>RNNWWST1</v>
          </cell>
          <cell r="C41" t="str">
            <v>WSTNREN</v>
          </cell>
          <cell r="H41">
            <v>34.937592519263241</v>
          </cell>
          <cell r="I41">
            <v>38.08249021703854</v>
          </cell>
          <cell r="J41">
            <v>38.141195034080624</v>
          </cell>
        </row>
        <row r="42">
          <cell r="A42" t="str">
            <v>RNWSOL1</v>
          </cell>
          <cell r="C42" t="str">
            <v>SOL</v>
          </cell>
          <cell r="H42">
            <v>68.857696295888175</v>
          </cell>
          <cell r="I42">
            <v>143.29870718066823</v>
          </cell>
          <cell r="J42">
            <v>155.91985444185846</v>
          </cell>
        </row>
        <row r="43">
          <cell r="A43" t="str">
            <v>IMPHFO1</v>
          </cell>
          <cell r="C43" t="str">
            <v>HFO</v>
          </cell>
          <cell r="H43">
            <v>7.1151622481693136E-3</v>
          </cell>
          <cell r="I43">
            <v>4.9387379504808534E-4</v>
          </cell>
        </row>
        <row r="44">
          <cell r="A44" t="str">
            <v>RNWHYDD1</v>
          </cell>
          <cell r="C44" t="str">
            <v>HYDD</v>
          </cell>
          <cell r="H44">
            <v>72.614680964563433</v>
          </cell>
          <cell r="I44">
            <v>73.883720214170381</v>
          </cell>
          <cell r="J44">
            <v>74.836063035420764</v>
          </cell>
        </row>
        <row r="45">
          <cell r="A45" t="str">
            <v>IMPKER</v>
          </cell>
          <cell r="C45" t="str">
            <v>KER</v>
          </cell>
          <cell r="H45">
            <v>2.5845035496240074</v>
          </cell>
          <cell r="I45">
            <v>2.1489311497782335</v>
          </cell>
        </row>
        <row r="46">
          <cell r="A46" t="str">
            <v>IMPBDS</v>
          </cell>
          <cell r="C46" t="str">
            <v>BDS</v>
          </cell>
          <cell r="H46">
            <v>3.0445351209402483</v>
          </cell>
          <cell r="I46">
            <v>3.0379105114258782</v>
          </cell>
          <cell r="J46">
            <v>5.8310182072954397</v>
          </cell>
        </row>
        <row r="47">
          <cell r="A47" t="str">
            <v>IMPCOA1</v>
          </cell>
          <cell r="C47" t="str">
            <v>COA</v>
          </cell>
          <cell r="H47">
            <v>4.6511613424303957E-3</v>
          </cell>
          <cell r="I47">
            <v>5.0060000689233861E-4</v>
          </cell>
          <cell r="J47">
            <v>8.3625798899730668E-6</v>
          </cell>
        </row>
        <row r="48">
          <cell r="A48" t="str">
            <v>IMPETH</v>
          </cell>
          <cell r="C48" t="str">
            <v>ETH</v>
          </cell>
          <cell r="H48">
            <v>1.5819373865668636</v>
          </cell>
          <cell r="I48">
            <v>2.863850046239325</v>
          </cell>
          <cell r="J48">
            <v>7.1232835390029822E-2</v>
          </cell>
        </row>
        <row r="49">
          <cell r="A49" t="str">
            <v>IMPELC_DE</v>
          </cell>
          <cell r="C49" t="str">
            <v>ELC_I-DE</v>
          </cell>
          <cell r="H49">
            <v>38.044751963554113</v>
          </cell>
          <cell r="I49">
            <v>18.655614163692011</v>
          </cell>
          <cell r="J49">
            <v>7.2451374983854304</v>
          </cell>
        </row>
        <row r="50">
          <cell r="A50" t="str">
            <v>IMPELC_DE</v>
          </cell>
          <cell r="C50" t="str">
            <v>ELCS</v>
          </cell>
          <cell r="H50">
            <v>38.044751963554113</v>
          </cell>
          <cell r="I50">
            <v>18.655614163692011</v>
          </cell>
          <cell r="J50">
            <v>7.2451374983854304</v>
          </cell>
        </row>
        <row r="51">
          <cell r="A51" t="str">
            <v>RNWWST1</v>
          </cell>
          <cell r="C51" t="str">
            <v>WSTREN</v>
          </cell>
          <cell r="H51">
            <v>37.362938169519751</v>
          </cell>
          <cell r="I51">
            <v>41.11320886439519</v>
          </cell>
          <cell r="J51">
            <v>44.606349722018656</v>
          </cell>
        </row>
        <row r="52">
          <cell r="A52" t="str">
            <v>IMPNGA1</v>
          </cell>
          <cell r="C52" t="str">
            <v>NGA</v>
          </cell>
          <cell r="H52">
            <v>55.885155641175182</v>
          </cell>
          <cell r="I52">
            <v>16.734606214050988</v>
          </cell>
          <cell r="J52">
            <v>7.110300258726386E-6</v>
          </cell>
        </row>
        <row r="53">
          <cell r="A53" t="str">
            <v>IMPELC_IT</v>
          </cell>
          <cell r="C53" t="str">
            <v>ELC_I-IT</v>
          </cell>
          <cell r="H53">
            <v>5.1351763658463213E-4</v>
          </cell>
          <cell r="I53">
            <v>3.4270060615077983E-4</v>
          </cell>
          <cell r="J53">
            <v>2.6898280083927485E-4</v>
          </cell>
        </row>
        <row r="54">
          <cell r="A54" t="str">
            <v>IMPELC_IT</v>
          </cell>
          <cell r="C54" t="str">
            <v>ELCS</v>
          </cell>
          <cell r="H54">
            <v>5.1351763658463213E-4</v>
          </cell>
          <cell r="I54">
            <v>3.4270060615077983E-4</v>
          </cell>
          <cell r="J54">
            <v>2.6898280083927485E-4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0.82768343453441562</v>
          </cell>
          <cell r="I4">
            <v>0.89880059420756198</v>
          </cell>
          <cell r="J4">
            <v>0.80448964563958236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0.82768343453441562</v>
          </cell>
          <cell r="I5">
            <v>0.89880059420756198</v>
          </cell>
          <cell r="J5">
            <v>0.80448964563958236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1.4091248470194558E-4</v>
          </cell>
          <cell r="I6">
            <v>1.1373437615441258E-4</v>
          </cell>
          <cell r="J6">
            <v>1.2650763416242791E-4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1.4105339718664735E-4</v>
          </cell>
          <cell r="I7">
            <v>1.1384811053056713E-4</v>
          </cell>
          <cell r="J7">
            <v>1.2663414179659037E-4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1.113612194651148E-4</v>
          </cell>
          <cell r="I8">
            <v>1.0155160887747884E-4</v>
          </cell>
          <cell r="J8">
            <v>1.1878300240220217E-4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1.2650374375918199E-6</v>
          </cell>
          <cell r="I9">
            <v>2.1519550126128101E-5</v>
          </cell>
          <cell r="J9">
            <v>2.6923037391236401E-5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2.04855873858168E-4</v>
          </cell>
          <cell r="I10">
            <v>5.3756364191749002E-5</v>
          </cell>
          <cell r="J10">
            <v>4.3075600406342201E-5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9.0183814678017509</v>
          </cell>
          <cell r="I11">
            <v>7.0073047290130699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0.1162078778623068</v>
          </cell>
          <cell r="I12">
            <v>9.0293808817072108E-2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0.12236609861332079</v>
          </cell>
          <cell r="I13">
            <v>9.507876158769446E-2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3.9626732281424909E-2</v>
          </cell>
          <cell r="I15">
            <v>7.0169978484888465E-3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28.1977146458036</v>
          </cell>
          <cell r="I16">
            <v>33.679000341831298</v>
          </cell>
          <cell r="J16">
            <v>36.391042286453903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1.0161959575715511</v>
          </cell>
          <cell r="I17">
            <v>1.2260528977990186</v>
          </cell>
          <cell r="J17">
            <v>1.3805756724991791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0.49995947953552516</v>
          </cell>
          <cell r="I18">
            <v>0.59714539613176099</v>
          </cell>
          <cell r="J18">
            <v>0.64523124621372152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1.0161959575715511</v>
          </cell>
          <cell r="I19">
            <v>1.2260528977990186</v>
          </cell>
          <cell r="J19">
            <v>1.3805756724991791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3.4691651532098002E-2</v>
          </cell>
          <cell r="I20">
            <v>3.5083774266954297E-2</v>
          </cell>
          <cell r="J20">
            <v>6.0859677044940497E-2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7.4104333624124649E-2</v>
          </cell>
          <cell r="I21">
            <v>8.9656229165963372E-2</v>
          </cell>
          <cell r="J21">
            <v>0.1009952530895801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0.54706651109913529</v>
          </cell>
          <cell r="I22">
            <v>0.54706859873063129</v>
          </cell>
          <cell r="J22">
            <v>0.54709585245556791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0.54706651109913529</v>
          </cell>
          <cell r="I23">
            <v>0.54706859873063129</v>
          </cell>
          <cell r="J23">
            <v>0.54709585245556791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0.73555161156186222</v>
          </cell>
          <cell r="I24">
            <v>0.73349979718073544</v>
          </cell>
          <cell r="J24">
            <v>0.72946113660742307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2.98783188881891E-2</v>
          </cell>
          <cell r="I25">
            <v>1.3682081647738801E-2</v>
          </cell>
          <cell r="J25">
            <v>2.02598067132179E-2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4.1988945234814876E-2</v>
          </cell>
          <cell r="I26">
            <v>4.3584655605686737E-2</v>
          </cell>
          <cell r="J26">
            <v>4.2806725360743994E-2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2.8076215774482495E-3</v>
          </cell>
          <cell r="I27">
            <v>2.957656481418507E-3</v>
          </cell>
          <cell r="J27">
            <v>9.9168645748006347E-4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1.271405744186495E-3</v>
          </cell>
          <cell r="I28">
            <v>1.1590673190928589E-3</v>
          </cell>
          <cell r="J28">
            <v>5.3520423767271382E-4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4.0454810661595779E-3</v>
          </cell>
          <cell r="I29">
            <v>4.098115140550522E-3</v>
          </cell>
          <cell r="J29">
            <v>1.5106586360518906E-3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1.1064502768893236</v>
          </cell>
          <cell r="I30">
            <v>1.0537210443824991</v>
          </cell>
          <cell r="J30">
            <v>0.81228484750957242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2.4048302618486357</v>
          </cell>
          <cell r="I31">
            <v>2.236420808559981</v>
          </cell>
          <cell r="J31">
            <v>1.6303496461478986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2.4894644369849599E-2</v>
          </cell>
          <cell r="I32">
            <v>4.2278631256397498E-2</v>
          </cell>
          <cell r="J32">
            <v>1.70617327153549E-2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7.5678036958617606E-2</v>
          </cell>
          <cell r="I33">
            <v>7.4465151717559214E-2</v>
          </cell>
          <cell r="J33">
            <v>5.8274573232360787E-2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3.5071256148459828</v>
          </cell>
          <cell r="I34">
            <v>2.7468508938865677</v>
          </cell>
          <cell r="J34">
            <v>1.4803119297346006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4.8122955324109666</v>
          </cell>
          <cell r="I35">
            <v>3.7452219707387462</v>
          </cell>
          <cell r="J35">
            <v>1.9560522915433203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0.150559238953513</v>
          </cell>
          <cell r="I36">
            <v>6.9310183301621794E-2</v>
          </cell>
          <cell r="J36">
            <v>5.8494847121269896E-3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0.28340287353882204</v>
          </cell>
          <cell r="I37">
            <v>0.22237098748933126</v>
          </cell>
          <cell r="J37">
            <v>0.11983569446778744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7.0116022840854102E-3</v>
          </cell>
          <cell r="J38">
            <v>0.55389861380866035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7.0824265495812149E-3</v>
          </cell>
          <cell r="J39">
            <v>0.55949354930167727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4.9838986529695897E-6</v>
          </cell>
          <cell r="I40">
            <v>1.37058744315459E-3</v>
          </cell>
          <cell r="J40">
            <v>5.6980401767510201E-2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6.6612960530094097E-6</v>
          </cell>
          <cell r="I41">
            <v>1.3772487392076E-3</v>
          </cell>
          <cell r="J41">
            <v>5.8357650506717797E-2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5.7149439000447169</v>
          </cell>
          <cell r="I42">
            <v>4.8089301252332364</v>
          </cell>
          <cell r="J42">
            <v>3.3421981580189004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8.4349369359837887</v>
          </cell>
          <cell r="I43">
            <v>7.0772384564241033</v>
          </cell>
          <cell r="J43">
            <v>4.760046418050794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0.27132773588937598</v>
          </cell>
          <cell r="I44">
            <v>0.100055719816983</v>
          </cell>
          <cell r="J44">
            <v>8.2047097271388897E-2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0.44234713766524703</v>
          </cell>
          <cell r="I45">
            <v>0.37969857520394645</v>
          </cell>
          <cell r="J45">
            <v>0.26942998656178047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7.2773337986107558</v>
          </cell>
          <cell r="I46">
            <v>7.0555465855267023</v>
          </cell>
          <cell r="J46">
            <v>9.4717791777582825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7.2773337986107558</v>
          </cell>
          <cell r="I47">
            <v>7.0555465855267023</v>
          </cell>
          <cell r="J47">
            <v>9.4717791777582825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7.7473910580621785</v>
          </cell>
          <cell r="I48">
            <v>7.4719012466276906</v>
          </cell>
          <cell r="J48">
            <v>9.9702938713245075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0.21791103981530799</v>
          </cell>
          <cell r="I49">
            <v>0.27710075225000103</v>
          </cell>
          <cell r="J49">
            <v>0.45392741041697199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0.40648623012190399</v>
          </cell>
          <cell r="I50">
            <v>0.50209127886358196</v>
          </cell>
          <cell r="J50">
            <v>0.68471947382628595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0.32647814766967526</v>
          </cell>
          <cell r="I51">
            <v>0.66691563215894645</v>
          </cell>
          <cell r="J51">
            <v>0.67532753034866932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0.32680462581734504</v>
          </cell>
          <cell r="I52">
            <v>0.66758254779110615</v>
          </cell>
          <cell r="J52">
            <v>0.67600285787901782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0.32649092290216342</v>
          </cell>
          <cell r="I53">
            <v>0.66692153501436424</v>
          </cell>
          <cell r="J53">
            <v>0.67534071137953455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3.2188079165049503E-2</v>
          </cell>
          <cell r="I54">
            <v>5.1209909393388202E-2</v>
          </cell>
          <cell r="J54">
            <v>7.5895626139679401E-2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8.3062840055686149E-2</v>
          </cell>
          <cell r="I55">
            <v>0.10944703756562803</v>
          </cell>
          <cell r="J55">
            <v>0.12657520548559237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0.1869206477244158</v>
          </cell>
          <cell r="I56">
            <v>0.20169772465285521</v>
          </cell>
          <cell r="J56">
            <v>0.22874519195176798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6.1328301786164054</v>
          </cell>
          <cell r="I57">
            <v>6.5006486517238322</v>
          </cell>
          <cell r="J57">
            <v>6.0532185870643707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2.3374539101051286</v>
          </cell>
          <cell r="I58">
            <v>2.5418353107079708</v>
          </cell>
          <cell r="J58">
            <v>2.4705998350051752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2.3504168800437806</v>
          </cell>
          <cell r="I59">
            <v>2.1674634027505131</v>
          </cell>
          <cell r="J59">
            <v>3.9800192099113798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0.34782755385134323</v>
          </cell>
          <cell r="I60">
            <v>0.39602648048032141</v>
          </cell>
          <cell r="J60">
            <v>0.46028995741011158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12.431769139316003</v>
          </cell>
          <cell r="I61">
            <v>12.879488770995483</v>
          </cell>
          <cell r="J61">
            <v>14.285795984117952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1.04271369058984E-5</v>
          </cell>
          <cell r="I62">
            <v>2.21633077976633E-2</v>
          </cell>
          <cell r="J62">
            <v>9.7385618753761806E-7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0.627707018656666</v>
          </cell>
          <cell r="I63">
            <v>0.64987032645432996</v>
          </cell>
          <cell r="J63">
            <v>0.64987130031051699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2.0865933847441214E-3</v>
          </cell>
          <cell r="I64">
            <v>8.5038694183475999E-4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1.2629909272245169E-2</v>
          </cell>
          <cell r="I65">
            <v>1.2788358816644401E-3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1.4668452756113783E-2</v>
          </cell>
          <cell r="I66">
            <v>2.1009064594441841E-3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60.988773534278259</v>
          </cell>
          <cell r="I67">
            <v>61.051490383417622</v>
          </cell>
          <cell r="J67">
            <v>60.041773164526674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6.9890356866954377</v>
          </cell>
          <cell r="I68">
            <v>9.1932637057821811</v>
          </cell>
          <cell r="J68">
            <v>13.89738832993608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5.7149439000447169</v>
          </cell>
          <cell r="I69">
            <v>4.8089301252332364</v>
          </cell>
          <cell r="J69">
            <v>3.3421981580189004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6.9330345392225912</v>
          </cell>
          <cell r="I70">
            <v>7.6975608528909705</v>
          </cell>
          <cell r="J70">
            <v>7.5275291438065475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0.26848639914256239</v>
          </cell>
          <cell r="I71">
            <v>0.22443283414262608</v>
          </cell>
          <cell r="J71">
            <v>0.16882364181170723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11.741298263574738</v>
          </cell>
          <cell r="I73">
            <v>15.904694215015825</v>
          </cell>
          <cell r="J73">
            <v>18.990372109140701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0.54488833848819096</v>
          </cell>
          <cell r="I74">
            <v>0.70248432862311583</v>
          </cell>
          <cell r="J74">
            <v>0.73934833048218818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0.66785469987065726</v>
          </cell>
          <cell r="I76">
            <v>0.75084600257735801</v>
          </cell>
          <cell r="J76">
            <v>0.80493316948329297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9.7587058941971989</v>
          </cell>
          <cell r="I77">
            <v>5.1721971598408247</v>
          </cell>
          <cell r="J77">
            <v>1.9549114450882943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8.7283731550633838</v>
          </cell>
          <cell r="I78">
            <v>11.039911786806719</v>
          </cell>
          <cell r="J78">
            <v>11.568468723570065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9.6421526579787891</v>
          </cell>
          <cell r="I80">
            <v>5.5571693725047178</v>
          </cell>
          <cell r="J80">
            <v>1.0478001131889401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1.2775541305236333E-3</v>
          </cell>
          <cell r="I81">
            <v>8.3597059403858211E-4</v>
          </cell>
          <cell r="J81">
            <v>7.0728395874588472E-4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1.4603688634028285E-3</v>
          </cell>
          <cell r="I82">
            <v>9.7163347962415784E-4</v>
          </cell>
          <cell r="J82">
            <v>7.859071939218357E-4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9.1508289887189806E-5</v>
          </cell>
          <cell r="I83">
            <v>9.6156266582105802E-5</v>
          </cell>
          <cell r="J83">
            <v>7.3175893330121306E-5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1.1175124957549004E-4</v>
          </cell>
          <cell r="I84">
            <v>7.8364067420461016E-5</v>
          </cell>
          <cell r="J84">
            <v>3.8570558894891987E-5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8.8231373868275439E-2</v>
          </cell>
          <cell r="I85">
            <v>0.93776800247459946</v>
          </cell>
          <cell r="J85">
            <v>0.95455594915705355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8.8237798397246062E-2</v>
          </cell>
          <cell r="I86">
            <v>0.93777323280475378</v>
          </cell>
          <cell r="J86">
            <v>0.95456117948720531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1.96283613382108E-5</v>
          </cell>
          <cell r="I87">
            <v>4.1398652390090301E-2</v>
          </cell>
          <cell r="J87">
            <v>2.3148351502697202E-3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3.3126494785739469E-3</v>
          </cell>
          <cell r="I88">
            <v>4.371623410892013E-2</v>
          </cell>
          <cell r="J88">
            <v>4.3862420807711619E-2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9.9041462554840254E-3</v>
          </cell>
          <cell r="I89">
            <v>7.6048094573115139E-4</v>
          </cell>
          <cell r="J89">
            <v>2.4156573949244028E-5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9.0675037439900228E-6</v>
          </cell>
          <cell r="I90">
            <v>3.3900161455809585E-6</v>
          </cell>
          <cell r="J90">
            <v>1.3628256395093583E-5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1.7061693892454057E-3</v>
          </cell>
          <cell r="J91">
            <v>9.4098162446410669E-6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9.9138639770439598E-3</v>
          </cell>
          <cell r="I92">
            <v>2.4705057931976417E-3</v>
          </cell>
          <cell r="J92">
            <v>4.7194646588978664E-5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4.6511613424303957E-3</v>
          </cell>
          <cell r="I93">
            <v>5.0060000689233861E-4</v>
          </cell>
          <cell r="J93">
            <v>8.3625798899730668E-6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0.43116265644329799</v>
          </cell>
          <cell r="I94">
            <v>4.6405620638919703E-2</v>
          </cell>
          <cell r="J94">
            <v>7.7521115580050297E-4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4.6511613424303957E-3</v>
          </cell>
          <cell r="I95">
            <v>5.0060000689233861E-4</v>
          </cell>
          <cell r="J95">
            <v>8.3625798899730668E-6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4.0374283569908807</v>
          </cell>
          <cell r="I96">
            <v>4.0376175615058498</v>
          </cell>
          <cell r="J96">
            <v>4.2470674678331113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4.0374283569908807</v>
          </cell>
          <cell r="I97">
            <v>4.0376175615058498</v>
          </cell>
          <cell r="J97">
            <v>4.2470674678331113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6.04510814766476E-2</v>
          </cell>
          <cell r="I98">
            <v>7.0893937549215501E-6</v>
          </cell>
          <cell r="J98">
            <v>4.0143557120432202E-2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0.28512412376390328</v>
          </cell>
          <cell r="I99">
            <v>0.28513124191932976</v>
          </cell>
          <cell r="J99">
            <v>0.299916251559257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3.9051910299789804E-3</v>
          </cell>
          <cell r="I100">
            <v>3.1086715544751883E-3</v>
          </cell>
          <cell r="J100">
            <v>4.0879059622249032E-3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4.1976903986475685E-3</v>
          </cell>
          <cell r="I101">
            <v>3.3415115001018411E-3</v>
          </cell>
          <cell r="J101">
            <v>4.3940907055442964E-3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6.0509131098920002E-5</v>
          </cell>
          <cell r="I102">
            <v>3.0941569216442902E-4</v>
          </cell>
          <cell r="J102">
            <v>2.24837953562936E-4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4.8835063627267195E-4</v>
          </cell>
          <cell r="I103">
            <v>3.6816573161853675E-4</v>
          </cell>
          <cell r="J103">
            <v>4.7343343380567963E-4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4.3900457821961401E-4</v>
          </cell>
          <cell r="I107">
            <v>1.7989290175609901E-4</v>
          </cell>
          <cell r="J107">
            <v>6.6690176193972994E-8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7.8449878832092005E-4</v>
          </cell>
          <cell r="I108">
            <v>3.592772755019371E-4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3.1842928675762305</v>
          </cell>
          <cell r="I109">
            <v>4.0246006384828084</v>
          </cell>
          <cell r="J109">
            <v>6.6148707940181772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3.1842928675762305</v>
          </cell>
          <cell r="I110">
            <v>4.0246006384828084</v>
          </cell>
          <cell r="J110">
            <v>6.6148707940181772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0.13903573474693201</v>
          </cell>
          <cell r="I111">
            <v>5.9331153181689099E-2</v>
          </cell>
          <cell r="J111">
            <v>0.22239644376692999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0.22488091468740792</v>
          </cell>
          <cell r="I112">
            <v>0.28421209237016692</v>
          </cell>
          <cell r="J112">
            <v>0.46711228924468784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1.6367471508141211E-2</v>
          </cell>
          <cell r="I113">
            <v>0.58198248248632645</v>
          </cell>
          <cell r="J113">
            <v>5.5313221736918212E-5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/>
          <cell r="I114">
            <v>0.31067041528435624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0.26256351130107408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>
            <v>2.2870510064483427E-3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5.7489374444026392E-4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1.4101045747682837E-2</v>
          </cell>
          <cell r="I118">
            <v>2.1768261840788192E-3</v>
          </cell>
          <cell r="J118">
            <v>1.8956020078661054E-5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>
            <v>2.2664257604583667E-3</v>
          </cell>
          <cell r="I119">
            <v>1.8979261088404411E-3</v>
          </cell>
          <cell r="J119">
            <v>1.5176300310600288E-5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1.7061693892454057E-3</v>
          </cell>
          <cell r="J120">
            <v>9.4098162446410669E-6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1.056894678425535E-4</v>
          </cell>
          <cell r="J121">
            <v>1.1771085103015765E-5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2.08521748848568E-2</v>
          </cell>
          <cell r="I122">
            <v>1.89743239640646E-2</v>
          </cell>
          <cell r="J122">
            <v>2.9202079303738502E-3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2.1093257104662571E-2</v>
          </cell>
          <cell r="I123">
            <v>3.1418332055745235E-2</v>
          </cell>
          <cell r="J123">
            <v>7.0352206611222004E-3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/>
          <cell r="I124">
            <v>0.31067041528435624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0.37815817331383061</v>
          </cell>
          <cell r="I125">
            <v>0.45706082599933023</v>
          </cell>
          <cell r="J125">
            <v>0.12447685927740067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2.645929958846591E-4</v>
          </cell>
          <cell r="I126">
            <v>3.9168921495043562E-4</v>
          </cell>
          <cell r="J126">
            <v>1.3024680959677128E-4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0.37842276630971533</v>
          </cell>
          <cell r="I127">
            <v>0.76812295016747911</v>
          </cell>
          <cell r="J127">
            <v>0.12460714304954969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2.0916473366473767</v>
          </cell>
          <cell r="I128">
            <v>2.275986635045649</v>
          </cell>
          <cell r="J128">
            <v>2.218305160130595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2.0916473366473767</v>
          </cell>
          <cell r="I129">
            <v>2.275986635045649</v>
          </cell>
          <cell r="J129">
            <v>2.218305160130595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2.3374539101051286</v>
          </cell>
          <cell r="I130">
            <v>2.5418353107079708</v>
          </cell>
          <cell r="J130">
            <v>2.4705998350051752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5.8100890159178499E-2</v>
          </cell>
          <cell r="I131">
            <v>7.0197336249984393E-2</v>
          </cell>
          <cell r="J131">
            <v>5.9341631570888301E-2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0.172556507260888</v>
          </cell>
          <cell r="I132">
            <v>0.18670901178786903</v>
          </cell>
          <cell r="J132">
            <v>0.18249991738215604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0.97631181664128475</v>
          </cell>
          <cell r="I133">
            <v>2.7611111143789233</v>
          </cell>
          <cell r="J133">
            <v>4.8426470819048779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0.97631181664128475</v>
          </cell>
          <cell r="I134">
            <v>2.7611111143789233</v>
          </cell>
          <cell r="J134">
            <v>4.8426470819048779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1.0643944790749699E-6</v>
          </cell>
          <cell r="I135">
            <v>0.12602550981645499</v>
          </cell>
          <cell r="J135">
            <v>0.17870609943569599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6.8964602885383017E-2</v>
          </cell>
          <cell r="I136">
            <v>0.19499014314492824</v>
          </cell>
          <cell r="J136">
            <v>0.34195971828991056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60.508259687573727</v>
          </cell>
          <cell r="I137">
            <v>64.773247354779571</v>
          </cell>
          <cell r="J137">
            <v>64.240750801336333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19.108067308259486</v>
          </cell>
          <cell r="I138">
            <v>15.367216364401868</v>
          </cell>
          <cell r="J138">
            <v>14.909133830425189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13.828490456357871</v>
          </cell>
          <cell r="I139">
            <v>9.2904108295867047</v>
          </cell>
          <cell r="J139">
            <v>9.0795726960659273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14.467325475341809</v>
          </cell>
          <cell r="I140">
            <v>21.332591482968937</v>
          </cell>
          <cell r="J140">
            <v>21.223314137785295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13.104376447614591</v>
          </cell>
          <cell r="I141">
            <v>18.783028677822095</v>
          </cell>
          <cell r="J141">
            <v>19.028730137060005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6.9330345392225912</v>
          </cell>
          <cell r="I142">
            <v>7.6975608528909705</v>
          </cell>
          <cell r="J142">
            <v>7.5275291438065475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6.9330345392225912</v>
          </cell>
          <cell r="I143">
            <v>7.6975608528909705</v>
          </cell>
          <cell r="J143">
            <v>7.5275291438065475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8.4069761723008423</v>
          </cell>
          <cell r="I144">
            <v>9.3340384082878813</v>
          </cell>
          <cell r="J144">
            <v>9.1278584853809015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0.501496717102763</v>
          </cell>
          <cell r="I145">
            <v>0.28807560201492899</v>
          </cell>
          <cell r="J145">
            <v>0.498374855553958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0.84969664602512918</v>
          </cell>
          <cell r="I146">
            <v>0.84969937053542399</v>
          </cell>
          <cell r="J146">
            <v>0.84970105908887616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9.8878659055834407E-3</v>
          </cell>
          <cell r="I147">
            <v>0.68450521669878861</v>
          </cell>
          <cell r="J147">
            <v>1.0908068568166802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1.2044014836492197E-2</v>
          </cell>
          <cell r="I148">
            <v>0.80537871510218595</v>
          </cell>
          <cell r="J148">
            <v>1.212085019672307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0.15271001890060301</v>
          </cell>
          <cell r="I149">
            <v>5.0600480730543303E-2</v>
          </cell>
          <cell r="J149">
            <v>0.14626631953348601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0.28810421931862906</v>
          </cell>
          <cell r="I150">
            <v>0.23146096545165146</v>
          </cell>
          <cell r="J150">
            <v>0.24757548077115837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2.48308080228177E-3</v>
          </cell>
          <cell r="I151">
            <v>0.69831295869474597</v>
          </cell>
          <cell r="J151">
            <v>0.6698758261541593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18.818138653443022</v>
          </cell>
          <cell r="I152">
            <v>39.684974084023864</v>
          </cell>
          <cell r="J152">
            <v>42.938908336200988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18.82062173424529</v>
          </cell>
          <cell r="I153">
            <v>40.383287042718599</v>
          </cell>
          <cell r="J153">
            <v>43.608784162355114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424.90349866626099</v>
          </cell>
          <cell r="I154">
            <v>225.271941427619</v>
          </cell>
          <cell r="J154">
            <v>9.2185163971936896E-4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5.6893548646473473</v>
          </cell>
          <cell r="I155">
            <v>3.0258743671664461</v>
          </cell>
          <cell r="J155">
            <v>0.23118895916324356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5.7653120578868551</v>
          </cell>
          <cell r="I156">
            <v>3.0566070750016188</v>
          </cell>
          <cell r="J156">
            <v>1.2508163361185459E-5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2.067701418034975E-2</v>
          </cell>
          <cell r="I157">
            <v>2.0680825507702248E-2</v>
          </cell>
          <cell r="J157">
            <v>0.23512469263941316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0.8144564683031027</v>
          </cell>
          <cell r="I158">
            <v>1.1497390749744489</v>
          </cell>
          <cell r="J158">
            <v>0.99726978543490907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0.81364282547762568</v>
          </cell>
          <cell r="I159">
            <v>1.148590484489959</v>
          </cell>
          <cell r="J159">
            <v>0.99627351192298674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0.81369600426374522</v>
          </cell>
          <cell r="I160">
            <v>1.1486303264350743</v>
          </cell>
          <cell r="J160">
            <v>0.99632248990437267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2.8109274386627098E-2</v>
          </cell>
          <cell r="I161">
            <v>9.0457350000297504E-2</v>
          </cell>
          <cell r="J161">
            <v>8.3908895984035503E-2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0.14344047804579815</v>
          </cell>
          <cell r="I162">
            <v>0.17677864352784114</v>
          </cell>
          <cell r="J162">
            <v>0.16133225042219182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0.5367598832538456</v>
          </cell>
          <cell r="I163">
            <v>0.53683996172744952</v>
          </cell>
          <cell r="J163">
            <v>1.3089023072776484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0.5367598832538456</v>
          </cell>
          <cell r="I164">
            <v>0.53683996172744952</v>
          </cell>
          <cell r="J164">
            <v>1.3089023072776484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1.8340884976162699E-7</v>
          </cell>
          <cell r="I165">
            <v>1.4723994539270099E-7</v>
          </cell>
          <cell r="J165">
            <v>7.0504585941923006E-2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3.7925459182545106E-2</v>
          </cell>
          <cell r="I166">
            <v>3.7925643028832341E-2</v>
          </cell>
          <cell r="J166">
            <v>9.2428938880361328E-2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3.6052868187621762E-3</v>
          </cell>
          <cell r="I167">
            <v>9.7818266440116222E-3</v>
          </cell>
          <cell r="J167">
            <v>9.6532152891287935E-3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3.6052868187621762E-3</v>
          </cell>
          <cell r="I168">
            <v>9.7818266440116222E-3</v>
          </cell>
          <cell r="J168">
            <v>9.6532152891287935E-3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6.9502726388654006E-5</v>
          </cell>
          <cell r="I169">
            <v>4.7492469069306502E-4</v>
          </cell>
          <cell r="J169">
            <v>7.2578769526305404E-8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2.7822959823420334E-4</v>
          </cell>
          <cell r="I170">
            <v>7.5318089775938798E-4</v>
          </cell>
          <cell r="J170">
            <v>7.5332129686996421E-4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7.7865787383927607E-3</v>
          </cell>
          <cell r="I171">
            <v>7.856703600693439E-3</v>
          </cell>
          <cell r="J171">
            <v>4.6708748119974018E-3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7.7865787383927607E-3</v>
          </cell>
          <cell r="I172">
            <v>7.856703600693439E-3</v>
          </cell>
          <cell r="J172">
            <v>4.6708748119974018E-3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1.5893145366079101E-7</v>
          </cell>
          <cell r="I173">
            <v>1.3758298191747999E-7</v>
          </cell>
          <cell r="J173">
            <v>2.6427419867441301E-6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5.6949939993997611E-4</v>
          </cell>
          <cell r="I174">
            <v>5.6966696102084952E-4</v>
          </cell>
          <cell r="J174">
            <v>3.3181879882405248E-4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8.8707237358282125</v>
          </cell>
          <cell r="I175">
            <v>4.3713211186348371</v>
          </cell>
          <cell r="J175">
            <v>0.97431295585349553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617.44566475798604</v>
          </cell>
          <cell r="I176">
            <v>303.60524836533699</v>
          </cell>
          <cell r="J176">
            <v>67.377502359503794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10.947618169467839</v>
          </cell>
          <cell r="I177">
            <v>5.3830717795272491</v>
          </cell>
          <cell r="J177">
            <v>1.1946365666578687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0.218203343601166</v>
          </cell>
          <cell r="I178">
            <v>6.2241402520641503E-2</v>
          </cell>
          <cell r="J178">
            <v>2.8710754021101001E-5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0.56863902563877577</v>
          </cell>
          <cell r="I179">
            <v>0.28043183519927023</v>
          </cell>
          <cell r="J179">
            <v>7.5959942588164991E-2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3.943699549431279E-5</v>
          </cell>
          <cell r="I180">
            <v>4.2539533692556776E-5</v>
          </cell>
          <cell r="J180">
            <v>1.4688676577226135E-4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3.943699549431279E-5</v>
          </cell>
          <cell r="I181">
            <v>4.2539533692556776E-5</v>
          </cell>
          <cell r="J181">
            <v>1.4688676577226135E-4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2.1126950183839499E-4</v>
          </cell>
          <cell r="I182">
            <v>8.9967905284590795E-5</v>
          </cell>
          <cell r="J182">
            <v>8.0549794124997197E-5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1.256965013499145E-3</v>
          </cell>
          <cell r="I183">
            <v>3.114351363552616E-4</v>
          </cell>
          <cell r="J183">
            <v>2.345508246616289E-4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0.34627462527266634</v>
          </cell>
          <cell r="I184">
            <v>0.36672531169062422</v>
          </cell>
          <cell r="J184">
            <v>0.29492963537401984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0.34627462527266634</v>
          </cell>
          <cell r="I185">
            <v>0.36672531169062422</v>
          </cell>
          <cell r="J185">
            <v>0.29492963537401984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0.47148010622783454</v>
          </cell>
          <cell r="I186">
            <v>0.49740336883026315</v>
          </cell>
          <cell r="J186">
            <v>0.39484331613888091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9.3034212708290806E-3</v>
          </cell>
          <cell r="I187">
            <v>1.6900990947340998E-2</v>
          </cell>
          <cell r="J187">
            <v>4.7060598516553602E-3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2.4537025152225798E-2</v>
          </cell>
          <cell r="I188">
            <v>2.6204401695207248E-2</v>
          </cell>
          <cell r="J188">
            <v>2.0906624839364472E-2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1.0315396562336286E-3</v>
          </cell>
          <cell r="I189">
            <v>1.0565778300280133E-3</v>
          </cell>
          <cell r="J189">
            <v>6.8019830018479328E-4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1.0315396562336286E-3</v>
          </cell>
          <cell r="I190">
            <v>1.0565778300280133E-3</v>
          </cell>
          <cell r="J190">
            <v>6.8019830018479328E-4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1.47925364042051E-7</v>
          </cell>
          <cell r="I191">
            <v>1.1221907083238099E-7</v>
          </cell>
          <cell r="J191">
            <v>9.8541770337732192E-7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8.1737715820547429E-5</v>
          </cell>
          <cell r="I192">
            <v>8.1823018993818405E-5</v>
          </cell>
          <cell r="J192">
            <v>4.8489808968649199E-5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4.0760516080235213E-4</v>
          </cell>
          <cell r="I193">
            <v>4.1398396892003935E-4</v>
          </cell>
          <cell r="J193">
            <v>2.7904663099208283E-4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4.0760516080235213E-4</v>
          </cell>
          <cell r="I194">
            <v>4.1398396892003935E-4</v>
          </cell>
          <cell r="J194">
            <v>2.7904663099208283E-4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1.38538745457747E-7</v>
          </cell>
          <cell r="I195">
            <v>8.3880917804656907E-8</v>
          </cell>
          <cell r="J195">
            <v>3.1300915302227E-7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3.1550053819883427E-5</v>
          </cell>
          <cell r="I196">
            <v>3.1601142406556197E-5</v>
          </cell>
          <cell r="J196">
            <v>1.8758460126704176E-5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1.0699158093678363E-4</v>
          </cell>
          <cell r="I197">
            <v>9.9886465232567272E-5</v>
          </cell>
          <cell r="J197">
            <v>7.2033359846144235E-5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1.0699158093678363E-4</v>
          </cell>
          <cell r="I198">
            <v>9.9886465232567272E-5</v>
          </cell>
          <cell r="J198">
            <v>7.2033359846144235E-5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6.1979680157489597E-8</v>
          </cell>
          <cell r="I199">
            <v>4.4637386788247499E-8</v>
          </cell>
          <cell r="J199">
            <v>7.1008042162463596E-8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2.8038210276485891E-6</v>
          </cell>
          <cell r="I200">
            <v>2.828638997154768E-6</v>
          </cell>
          <cell r="J200">
            <v>1.8334326576113988E-6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25.569436032318531</v>
          </cell>
          <cell r="I201">
            <v>27.598419388406167</v>
          </cell>
          <cell r="J201">
            <v>27.036350656560792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7.6976385392221589</v>
          </cell>
          <cell r="I202">
            <v>7.8353060666991636</v>
          </cell>
          <cell r="J202">
            <v>6.8060486071805872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25.569436032318531</v>
          </cell>
          <cell r="I203">
            <v>27.598419388406167</v>
          </cell>
          <cell r="J203">
            <v>27.036350656560792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0.74124953973278795</v>
          </cell>
          <cell r="I204">
            <v>1.1365436528006501</v>
          </cell>
          <cell r="J204">
            <v>1.0458415298081201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2.0657317093879701</v>
          </cell>
          <cell r="I205">
            <v>2.2296317737233982</v>
          </cell>
          <cell r="J205">
            <v>2.1842137213010964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10.69836561587878</v>
          </cell>
          <cell r="I206">
            <v>13.846500032617577</v>
          </cell>
          <cell r="J206">
            <v>17.283224528584341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4.6763045618013797</v>
          </cell>
          <cell r="I207">
            <v>5.6868887045750265</v>
          </cell>
          <cell r="J207">
            <v>6.3449448665999624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0.40631591114033</v>
          </cell>
          <cell r="I208">
            <v>0.40401540590500901</v>
          </cell>
          <cell r="J208">
            <v>0.71011156545000098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0.73125835102011705</v>
          </cell>
          <cell r="I209">
            <v>0.9430775021913147</v>
          </cell>
          <cell r="J209">
            <v>1.175188204179094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7.7473910580621785</v>
          </cell>
          <cell r="I210">
            <v>7.4719012466276906</v>
          </cell>
          <cell r="J210">
            <v>9.9702938713245075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1.0005336221617245E-2</v>
          </cell>
          <cell r="I211">
            <v>1.5803707570936593E-2</v>
          </cell>
          <cell r="J211">
            <v>1.9472238772894408E-3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7.7573963942837976</v>
          </cell>
          <cell r="I212">
            <v>7.4877049541986285</v>
          </cell>
          <cell r="J212">
            <v>9.9722410952017917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8.2467786442948086E-5</v>
          </cell>
          <cell r="I213">
            <v>7.2789797505244444E-5</v>
          </cell>
          <cell r="J213">
            <v>5.1276484982467951E-5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8.2467786442948086E-5</v>
          </cell>
          <cell r="I214">
            <v>7.2789797505244444E-5</v>
          </cell>
          <cell r="J214">
            <v>5.1276484982467951E-5</v>
          </cell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H215"/>
          <cell r="I215"/>
          <cell r="J215">
            <v>1.3026019395654501E-8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H216">
            <v>-7.4912388818500703E-8</v>
          </cell>
          <cell r="I216">
            <v>-9.0736794201260899E-8</v>
          </cell>
          <cell r="J216">
            <v>-2.5812885728986003E-8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H217">
            <v>11.741325668654406</v>
          </cell>
          <cell r="I217">
            <v>15.9047213908665</v>
          </cell>
          <cell r="J217">
            <v>18.990387926639492</v>
          </cell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H218">
            <v>11.741325668654406</v>
          </cell>
          <cell r="I218">
            <v>15.9047213908665</v>
          </cell>
          <cell r="J218">
            <v>18.990387926639492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H219">
            <v>3.4868801446314892</v>
          </cell>
          <cell r="I219">
            <v>4.4707424608452371</v>
          </cell>
          <cell r="J219">
            <v>4.9461708965912292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H220">
            <v>0.59486050816830405</v>
          </cell>
          <cell r="I220">
            <v>0.49722447668647102</v>
          </cell>
          <cell r="J220">
            <v>0.87090532693671296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H221">
            <v>0.90770371404674866</v>
          </cell>
          <cell r="I221">
            <v>1.2294806672254526</v>
          </cell>
          <cell r="J221">
            <v>1.4833801300720166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H222">
            <v>0.16137022469225035</v>
          </cell>
          <cell r="I222"/>
          <cell r="J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H223">
            <v>5.577838508252146E-3</v>
          </cell>
          <cell r="I223"/>
          <cell r="J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H224">
            <v>0.16690353776060754</v>
          </cell>
          <cell r="I224"/>
          <cell r="J224"/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H225">
            <v>4.22780343306977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H226">
            <v>10.623161129698985</v>
          </cell>
          <cell r="I226">
            <v>6.1462436541299894</v>
          </cell>
          <cell r="J226">
            <v>2.7611819738750114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H227">
            <v>1.2217898514546809E-2</v>
          </cell>
          <cell r="I227">
            <v>1.1870905777458599E-2</v>
          </cell>
          <cell r="J227">
            <v>1.0587476022186256E-2</v>
          </cell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H228">
            <v>1.2860945804786129E-2</v>
          </cell>
          <cell r="I228">
            <v>1.24956902920617E-2</v>
          </cell>
          <cell r="J228">
            <v>1.1144711602301339E-2</v>
          </cell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H229">
            <v>2.2716331187438701E-3</v>
          </cell>
          <cell r="I229"/>
          <cell r="J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H230">
            <v>4.9676632187829325E-3</v>
          </cell>
          <cell r="I230">
            <v>2.2712148796148446E-3</v>
          </cell>
          <cell r="J230">
            <v>9.6015534551739841E-4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H231">
            <v>4.22780343306954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H232">
            <v>10.623161129698985</v>
          </cell>
          <cell r="I232">
            <v>6.1462436541299894</v>
          </cell>
          <cell r="J232">
            <v>2.7611819738750114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H233">
            <v>1.7182596351172077E-3</v>
          </cell>
          <cell r="I233">
            <v>8.2709176106432428E-2</v>
          </cell>
          <cell r="J233">
            <v>3.3012669519512173E-3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H234">
            <v>1.9471298462375491E-3</v>
          </cell>
          <cell r="I234">
            <v>9.7206049556643415E-2</v>
          </cell>
          <cell r="J234">
            <v>3.5952324521572009E-3</v>
          </cell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H235">
            <v>1.76568406175456E-4</v>
          </cell>
          <cell r="I235">
            <v>5.1254859388009902E-2</v>
          </cell>
          <cell r="J235">
            <v>2.2504278652454001E-7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H236">
            <v>4.20104883200532E-4</v>
          </cell>
          <cell r="I236">
            <v>5.1557722034046703E-2</v>
          </cell>
          <cell r="J236">
            <v>3.7272282253610602E-2</v>
          </cell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H238"/>
          <cell r="I238"/>
          <cell r="J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H239"/>
          <cell r="I239"/>
          <cell r="J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H240">
            <v>4.2343072568974699E-4</v>
          </cell>
          <cell r="I240">
            <v>1.0654868454392E-4</v>
          </cell>
          <cell r="J240">
            <v>5.2084816043893003E-8</v>
          </cell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H241">
            <v>7.945115414504599E-4</v>
          </cell>
          <cell r="I241">
            <v>2.4037983949389496E-4</v>
          </cell>
          <cell r="J241"/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H242">
            <v>0.37130527599314339</v>
          </cell>
          <cell r="I242">
            <v>0.35013561960324618</v>
          </cell>
          <cell r="J242">
            <v>0.27807655948236504</v>
          </cell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H243">
            <v>0.37167658126913655</v>
          </cell>
          <cell r="I243">
            <v>0.35048575522284953</v>
          </cell>
          <cell r="J243">
            <v>0.27835463604184735</v>
          </cell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H244">
            <v>0.3713048208759418</v>
          </cell>
          <cell r="I244">
            <v>0.35013649106077172</v>
          </cell>
          <cell r="J244">
            <v>0.27807615580091827</v>
          </cell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H245">
            <v>1.9595360207419001E-2</v>
          </cell>
          <cell r="I245">
            <v>2.41041084129421E-2</v>
          </cell>
          <cell r="J245">
            <v>1.13541182864346E-2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H246">
            <v>3.5059089084521031E-2</v>
          </cell>
          <cell r="I246">
            <v>4.3667135674094852E-2</v>
          </cell>
          <cell r="J246">
            <v>3.7035254805289568E-2</v>
          </cell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H247">
            <v>3.9772395233839131</v>
          </cell>
          <cell r="I247">
            <v>2.3905607753034745</v>
          </cell>
          <cell r="J247">
            <v>0.18410234165341888</v>
          </cell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H248">
            <v>372.50515956263399</v>
          </cell>
          <cell r="I248">
            <v>223.00694086016699</v>
          </cell>
          <cell r="J248">
            <v>17.038626290331099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H249">
            <v>5.0543440917589511</v>
          </cell>
          <cell r="I249">
            <v>3.0258743671664461</v>
          </cell>
          <cell r="J249">
            <v>0.23118895916324356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H250">
            <v>0.167663374172595</v>
          </cell>
          <cell r="I250">
            <v>4.5639894561545404E-3</v>
          </cell>
          <cell r="J250">
            <v>1.35471051756652E-5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H251">
            <v>0.26539954552371753</v>
          </cell>
          <cell r="I251">
            <v>0.17217990962446669</v>
          </cell>
          <cell r="J251">
            <v>1.4243888447939598E-2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H252"/>
          <cell r="I252"/>
          <cell r="J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H253"/>
          <cell r="I253"/>
          <cell r="J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H254"/>
          <cell r="I254"/>
          <cell r="J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H255">
            <v>4.22780343306977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H256">
            <v>10.623161129698985</v>
          </cell>
          <cell r="I256">
            <v>6.1462436541299894</v>
          </cell>
          <cell r="J256">
            <v>2.7611819738750114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H257">
            <v>20.661971630040863</v>
          </cell>
          <cell r="I257">
            <v>17.352384509242409</v>
          </cell>
          <cell r="J257">
            <v>21.355985856621107</v>
          </cell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H258">
            <v>20.661971630040863</v>
          </cell>
          <cell r="I258">
            <v>17.352384509242409</v>
          </cell>
          <cell r="J258">
            <v>21.355985856621107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H259">
            <v>4.22780343306954</v>
          </cell>
          <cell r="I259"/>
          <cell r="J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H260">
            <v>10.623161129698985</v>
          </cell>
          <cell r="I260">
            <v>6.1462436541299894</v>
          </cell>
          <cell r="J260">
            <v>2.7611819738750114</v>
          </cell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H261">
            <v>35.54360855948984</v>
          </cell>
          <cell r="I261">
            <v>33.071915243512137</v>
          </cell>
          <cell r="J261">
            <v>32.730916079916803</v>
          </cell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H262">
            <v>35.54360855948984</v>
          </cell>
          <cell r="I262">
            <v>33.071915243512137</v>
          </cell>
          <cell r="J262">
            <v>32.730916079916803</v>
          </cell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H263">
            <v>4.4650013928086602E-6</v>
          </cell>
          <cell r="I263">
            <v>4.1191161512500102E-6</v>
          </cell>
          <cell r="J263">
            <v>3.1491178211951798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H264">
            <v>3.7569427532261916</v>
          </cell>
          <cell r="I264">
            <v>3.4956864039957631</v>
          </cell>
          <cell r="J264">
            <v>3.4596357124190038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H265">
            <v>1.2797176574798799E-3</v>
          </cell>
          <cell r="I265">
            <v>0.15112404774507909</v>
          </cell>
          <cell r="J265">
            <v>0.26512359891684356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H266">
            <v>1.069271087711229E-3</v>
          </cell>
          <cell r="I266">
            <v>2.5314267713840623E-2</v>
          </cell>
          <cell r="J266">
            <v>2.6702762996897684E-2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H267">
            <v>2.3047037802459576E-3</v>
          </cell>
          <cell r="I267">
            <v>0.17643831545891978</v>
          </cell>
          <cell r="J267">
            <v>0.29182636191374095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H268">
            <v>4.22780343306977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H269">
            <v>10.623161129698985</v>
          </cell>
          <cell r="I269">
            <v>6.1462436541299894</v>
          </cell>
          <cell r="J269">
            <v>2.7611819738750114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H270">
            <v>2.0212991820773574E-3</v>
          </cell>
          <cell r="I270">
            <v>0.36676243934385783</v>
          </cell>
          <cell r="J270">
            <v>0.28501342149996717</v>
          </cell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H271">
            <v>0.92943313498871771</v>
          </cell>
          <cell r="I271">
            <v>13.096365869408075</v>
          </cell>
          <cell r="J271">
            <v>14.046243291749704</v>
          </cell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H272">
            <v>0.9314544341707961</v>
          </cell>
          <cell r="I272">
            <v>13.463128308751937</v>
          </cell>
          <cell r="J272">
            <v>14.331256713249676</v>
          </cell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H273">
            <v>0.36503923159167478</v>
          </cell>
          <cell r="I273">
            <v>0.46154811260428263</v>
          </cell>
          <cell r="J273">
            <v>0.5010478558856396</v>
          </cell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H274">
            <v>0.36467455703464019</v>
          </cell>
          <cell r="I274">
            <v>0.46108702557870379</v>
          </cell>
          <cell r="J274">
            <v>0.50054730857706287</v>
          </cell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H275">
            <v>0.36468778095561732</v>
          </cell>
          <cell r="I275">
            <v>0.46110817094745049</v>
          </cell>
          <cell r="J275">
            <v>0.50056331944401589</v>
          </cell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H276">
            <v>1.9277575416772101E-2</v>
          </cell>
          <cell r="I276">
            <v>2.5265627468413199E-2</v>
          </cell>
          <cell r="J276">
            <v>3.5466513449489999E-2</v>
          </cell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H277">
            <v>4.5523365402136758E-2</v>
          </cell>
          <cell r="I277">
            <v>5.3698177855307727E-2</v>
          </cell>
          <cell r="J277">
            <v>6.1843314200344536E-2</v>
          </cell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H278">
            <v>8.4069761723008423</v>
          </cell>
          <cell r="I278">
            <v>9.3340384082878813</v>
          </cell>
          <cell r="J278">
            <v>9.1278584853809015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H279">
            <v>9.1214567457618081</v>
          </cell>
          <cell r="I279">
            <v>10.120668631795308</v>
          </cell>
          <cell r="J279">
            <v>9.8841550763037471</v>
          </cell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H280">
            <v>3.5197598565781802E-7</v>
          </cell>
          <cell r="I280">
            <v>4.8225578645784401E-7</v>
          </cell>
          <cell r="J280">
            <v>4.1190683446759299E-7</v>
          </cell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H281">
            <v>0.84970105805176099</v>
          </cell>
          <cell r="I281">
            <v>0.84970154030754697</v>
          </cell>
          <cell r="J281">
            <v>0.84970195221438205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H282">
            <v>3.4612631323886056</v>
          </cell>
          <cell r="I282">
            <v>3.4612667228264078</v>
          </cell>
          <cell r="J282">
            <v>4.1702608758564823</v>
          </cell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H283">
            <v>4.8681619302230734</v>
          </cell>
          <cell r="I283">
            <v>4.8681669800652738</v>
          </cell>
          <cell r="J283">
            <v>5.7920289942451166</v>
          </cell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H284">
            <v>8.5662477356032996E-2</v>
          </cell>
          <cell r="I284">
            <v>0.133317702066238</v>
          </cell>
          <cell r="J284">
            <v>0.16815479977967401</v>
          </cell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H285">
            <v>0.19810905821475019</v>
          </cell>
          <cell r="I285">
            <v>0.24939046322678088</v>
          </cell>
          <cell r="J285">
            <v>0.30105502950041069</v>
          </cell>
        </row>
        <row r="286">
          <cell r="A286" t="str">
            <v>RHNS-SHPLTBR</v>
          </cell>
          <cell r="B286" t="str">
            <v>VAR_fout</v>
          </cell>
          <cell r="C286" t="str">
            <v>RHNS-SHPLT</v>
          </cell>
          <cell r="H286">
            <v>6.6365309451939932E-3</v>
          </cell>
          <cell r="I286">
            <v>7.0353763195106439E-3</v>
          </cell>
          <cell r="J286">
            <v>1.008830195086002E-2</v>
          </cell>
        </row>
        <row r="287">
          <cell r="A287" t="str">
            <v>RHNS-SHPLTBR</v>
          </cell>
          <cell r="B287" t="str">
            <v>VAR_fin</v>
          </cell>
          <cell r="C287" t="str">
            <v>RPLT</v>
          </cell>
          <cell r="H287">
            <v>8.6774472599939478E-3</v>
          </cell>
          <cell r="I287">
            <v>9.1781813626188747E-3</v>
          </cell>
          <cell r="J287">
            <v>1.3034382555092691E-2</v>
          </cell>
        </row>
        <row r="288">
          <cell r="A288" t="str">
            <v>RHNS-SHPLTBR</v>
          </cell>
          <cell r="B288" t="str">
            <v>VAR_ncap</v>
          </cell>
          <cell r="C288" t="str">
            <v>-</v>
          </cell>
          <cell r="H288">
            <v>1.36814385405013E-5</v>
          </cell>
          <cell r="I288">
            <v>2.2535297068456201E-4</v>
          </cell>
          <cell r="J288">
            <v>5.9491210096549504E-4</v>
          </cell>
        </row>
        <row r="289">
          <cell r="A289" t="str">
            <v>RHNS-SHPLTBR</v>
          </cell>
          <cell r="B289" t="str">
            <v>VAR_cap</v>
          </cell>
          <cell r="C289" t="str">
            <v>-</v>
          </cell>
          <cell r="H289">
            <v>5.8785189043359092E-4</v>
          </cell>
          <cell r="I289">
            <v>5.6539048955107929E-4</v>
          </cell>
          <cell r="J289">
            <v>7.6398791006921805E-4</v>
          </cell>
        </row>
        <row r="290">
          <cell r="A290" t="str">
            <v>D-RHNM_KEV_WOD_ELC_CHP</v>
          </cell>
          <cell r="B290" t="str">
            <v>VAR_fout</v>
          </cell>
          <cell r="C290" t="str">
            <v>ELC5</v>
          </cell>
          <cell r="H290">
            <v>2.5459817923210947E-3</v>
          </cell>
          <cell r="I290">
            <v>4.5895410438531997E-3</v>
          </cell>
          <cell r="J290">
            <v>1.5184354374798675E-3</v>
          </cell>
        </row>
        <row r="291">
          <cell r="A291" t="str">
            <v>D-RHNM_KEV_WOD_ELC_CHP</v>
          </cell>
          <cell r="B291" t="str">
            <v>VAR_fout</v>
          </cell>
          <cell r="C291" t="str">
            <v>RHNM_ELC</v>
          </cell>
          <cell r="H291">
            <v>0.13566257231502599</v>
          </cell>
          <cell r="I291">
            <v>0.27984150578286565</v>
          </cell>
          <cell r="J291">
            <v>4.6029932764089662E-2</v>
          </cell>
        </row>
        <row r="292">
          <cell r="A292" t="str">
            <v>D-RHNM_KEV_WOD_ELC_CHP</v>
          </cell>
          <cell r="B292" t="str">
            <v>VAR_fin</v>
          </cell>
          <cell r="C292" t="str">
            <v>RHNM_KEV_WOD_ELC_CHP</v>
          </cell>
          <cell r="H292">
            <v>0.13817634866462511</v>
          </cell>
          <cell r="I292">
            <v>0.28439912462113148</v>
          </cell>
          <cell r="J292">
            <v>4.7522569748378062E-2</v>
          </cell>
        </row>
        <row r="293">
          <cell r="A293" t="str">
            <v>SCOM-SHLTHCHPNGA</v>
          </cell>
          <cell r="B293" t="str">
            <v>VAR_fout</v>
          </cell>
          <cell r="C293" t="str">
            <v>SCOM-SHLTHC-NGA</v>
          </cell>
          <cell r="H293"/>
          <cell r="I293"/>
          <cell r="J293"/>
        </row>
        <row r="294">
          <cell r="A294" t="str">
            <v>SCOM-SHLTHCHPNGA</v>
          </cell>
          <cell r="B294" t="str">
            <v>VAR_fin</v>
          </cell>
          <cell r="C294" t="str">
            <v>SCOMLTHCHPC</v>
          </cell>
          <cell r="H294"/>
          <cell r="I294"/>
          <cell r="J294"/>
        </row>
        <row r="295">
          <cell r="A295" t="str">
            <v>SCOM-SHLTHCHPNGA</v>
          </cell>
          <cell r="B295" t="str">
            <v>VAR_fin</v>
          </cell>
          <cell r="C295" t="str">
            <v>SCOM_LTH_CHPNGA_ON</v>
          </cell>
          <cell r="H295"/>
          <cell r="I295"/>
          <cell r="J295"/>
        </row>
        <row r="296">
          <cell r="A296" t="str">
            <v>SCOM-SHLTHCHPNGA</v>
          </cell>
          <cell r="B296" t="str">
            <v>VAR_ncap</v>
          </cell>
          <cell r="C296" t="str">
            <v>-</v>
          </cell>
          <cell r="H296">
            <v>4.2449451188792298E-4</v>
          </cell>
          <cell r="I296">
            <v>2.13978026309595E-4</v>
          </cell>
          <cell r="J296">
            <v>8.7768776104760997E-7</v>
          </cell>
        </row>
        <row r="297">
          <cell r="A297" t="str">
            <v>SCOM-SHLTHCHPNGA</v>
          </cell>
          <cell r="B297" t="str">
            <v>VAR_cap</v>
          </cell>
          <cell r="C297" t="str">
            <v>-</v>
          </cell>
          <cell r="H297">
            <v>6.2980555390410031E-4</v>
          </cell>
          <cell r="I297">
            <v>3.264213975658339E-4</v>
          </cell>
          <cell r="J297">
            <v>1.2084032281810351E-6</v>
          </cell>
        </row>
        <row r="298">
          <cell r="A298" t="str">
            <v>ITOT-PROCESSCO2</v>
          </cell>
          <cell r="B298" t="str">
            <v>VAR_fout</v>
          </cell>
          <cell r="C298" t="str">
            <v>CO2</v>
          </cell>
          <cell r="H298">
            <v>2085.5365318520599</v>
          </cell>
          <cell r="I298">
            <v>2077.44119661177</v>
          </cell>
          <cell r="J298">
            <v>2063.75173716677</v>
          </cell>
        </row>
        <row r="299">
          <cell r="A299" t="str">
            <v>ITOT-PROCESSCO2</v>
          </cell>
          <cell r="B299" t="str">
            <v>VAR_fout</v>
          </cell>
          <cell r="C299" t="str">
            <v>CO2P</v>
          </cell>
          <cell r="H299">
            <v>2085.5365318520576</v>
          </cell>
          <cell r="I299">
            <v>2077.4411966117691</v>
          </cell>
          <cell r="J299">
            <v>2063.7517371667682</v>
          </cell>
        </row>
        <row r="300">
          <cell r="A300" t="str">
            <v>RHNM-SHWODBR</v>
          </cell>
          <cell r="B300" t="str">
            <v>VAR_fout</v>
          </cell>
          <cell r="C300" t="str">
            <v>RHNM-SHWOD</v>
          </cell>
          <cell r="H300">
            <v>0.10055423176699176</v>
          </cell>
          <cell r="I300">
            <v>0.10575504368566016</v>
          </cell>
          <cell r="J300">
            <v>8.8638211080806828E-2</v>
          </cell>
        </row>
        <row r="301">
          <cell r="A301" t="str">
            <v>RHNM-SHWODBR</v>
          </cell>
          <cell r="B301" t="str">
            <v>VAR_fin</v>
          </cell>
          <cell r="C301" t="str">
            <v>RHNMWODBRC</v>
          </cell>
          <cell r="H301">
            <v>0.10055423176699176</v>
          </cell>
          <cell r="I301">
            <v>0.10575504368566016</v>
          </cell>
          <cell r="J301">
            <v>8.8638211080806828E-2</v>
          </cell>
        </row>
        <row r="302">
          <cell r="A302" t="str">
            <v>RHNM-SHWODBR</v>
          </cell>
          <cell r="B302" t="str">
            <v>VAR_fin</v>
          </cell>
          <cell r="C302" t="str">
            <v>RWOD</v>
          </cell>
          <cell r="H302">
            <v>0.13348977223957764</v>
          </cell>
          <cell r="I302">
            <v>0.13970997175395228</v>
          </cell>
          <cell r="J302">
            <v>0.11709741242440194</v>
          </cell>
        </row>
        <row r="303">
          <cell r="A303" t="str">
            <v>RHNM-SHWODBR</v>
          </cell>
          <cell r="B303" t="str">
            <v>VAR_ncap</v>
          </cell>
          <cell r="C303" t="str">
            <v>-</v>
          </cell>
          <cell r="H303">
            <v>1.63892628216936E-2</v>
          </cell>
          <cell r="I303"/>
          <cell r="J303"/>
        </row>
        <row r="304">
          <cell r="A304" t="str">
            <v>RHNM-SHWODBR</v>
          </cell>
          <cell r="B304" t="str">
            <v>VAR_cap</v>
          </cell>
          <cell r="C304" t="str">
            <v>-</v>
          </cell>
          <cell r="H304">
            <v>1.7634579056194619E-2</v>
          </cell>
          <cell r="I304">
            <v>1.6452619402486122E-2</v>
          </cell>
          <cell r="J304">
            <v>6.9324237606989397E-3</v>
          </cell>
        </row>
        <row r="305">
          <cell r="A305" t="str">
            <v>RHNS-SHDEM</v>
          </cell>
          <cell r="B305" t="str">
            <v>VAR_fout</v>
          </cell>
          <cell r="C305" t="str">
            <v>RHNS-SHD</v>
          </cell>
          <cell r="H305">
            <v>4.2333362112786901</v>
          </cell>
          <cell r="I305">
            <v>4.9140341059949817</v>
          </cell>
          <cell r="J305">
            <v>5.470388932278893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RHNS-SHLTHC-WOD</v>
          </cell>
          <cell r="H306">
            <v>1.6969651097904436E-4</v>
          </cell>
          <cell r="I306">
            <v>3.3767736081177995E-5</v>
          </cell>
          <cell r="J306">
            <v>2.8540334779507615E-4</v>
          </cell>
        </row>
        <row r="307">
          <cell r="A307" t="str">
            <v>RHNS-SHDEM</v>
          </cell>
          <cell r="B307" t="str">
            <v>VAR_fin</v>
          </cell>
          <cell r="C307" t="str">
            <v>RHNS-SHLFO</v>
          </cell>
          <cell r="H307">
            <v>5.6077675484486465E-2</v>
          </cell>
          <cell r="I307">
            <v>5.110997188823372E-2</v>
          </cell>
          <cell r="J307"/>
        </row>
        <row r="308">
          <cell r="A308" t="str">
            <v>RHNS-SHDEM</v>
          </cell>
          <cell r="B308" t="str">
            <v>VAR_fin</v>
          </cell>
          <cell r="C308" t="str">
            <v>RHNS-SHNGAH</v>
          </cell>
          <cell r="H308">
            <v>1.0152378530525363</v>
          </cell>
          <cell r="I308">
            <v>1.2247688957143514</v>
          </cell>
          <cell r="J308">
            <v>1.3798454507958398</v>
          </cell>
        </row>
        <row r="309">
          <cell r="A309" t="str">
            <v>RHNS-SHDEM</v>
          </cell>
          <cell r="B309" t="str">
            <v>VAR_fin</v>
          </cell>
          <cell r="C309" t="str">
            <v>RHNS-SHCON</v>
          </cell>
          <cell r="H309">
            <v>3.2205013750917053E-3</v>
          </cell>
          <cell r="I309">
            <v>1.1316004993685416E-2</v>
          </cell>
          <cell r="J309">
            <v>1.1302422151100437E-2</v>
          </cell>
        </row>
        <row r="310">
          <cell r="A310" t="str">
            <v>RHNS-SHDEM</v>
          </cell>
          <cell r="B310" t="str">
            <v>VAR_fin</v>
          </cell>
          <cell r="C310" t="str">
            <v>RHNS-SHWOD</v>
          </cell>
          <cell r="H310">
            <v>8.2640223095000492E-2</v>
          </cell>
          <cell r="I310">
            <v>8.4280387452319902E-2</v>
          </cell>
          <cell r="J310">
            <v>8.6236379492933363E-2</v>
          </cell>
        </row>
        <row r="311">
          <cell r="A311" t="str">
            <v>RHNS-SHDEM</v>
          </cell>
          <cell r="B311" t="str">
            <v>VAR_fin</v>
          </cell>
          <cell r="C311" t="str">
            <v>RHNS-SHNST</v>
          </cell>
          <cell r="H311">
            <v>2.6841244233885282E-4</v>
          </cell>
          <cell r="I311">
            <v>3.6999699927982039E-4</v>
          </cell>
          <cell r="J311"/>
        </row>
        <row r="312">
          <cell r="A312" t="str">
            <v>RHNS-SHDEM</v>
          </cell>
          <cell r="B312" t="str">
            <v>VAR_fin</v>
          </cell>
          <cell r="C312" t="str">
            <v>RHNS-SHPLT</v>
          </cell>
          <cell r="H312">
            <v>6.7405332604467006E-3</v>
          </cell>
          <cell r="I312">
            <v>7.165554279950765E-3</v>
          </cell>
          <cell r="J312">
            <v>1.0143930754231123E-2</v>
          </cell>
        </row>
        <row r="313">
          <cell r="A313" t="str">
            <v>RHNS-SHDEM</v>
          </cell>
          <cell r="B313" t="str">
            <v>VAR_fin</v>
          </cell>
          <cell r="C313" t="str">
            <v>RHNS-SHLTHD</v>
          </cell>
          <cell r="H313">
            <v>0.16944566760509291</v>
          </cell>
          <cell r="I313">
            <v>0.1829028561617842</v>
          </cell>
          <cell r="J313">
            <v>0.20784237826361798</v>
          </cell>
        </row>
        <row r="314">
          <cell r="A314" t="str">
            <v>RHNS-SHDEM</v>
          </cell>
          <cell r="B314" t="str">
            <v>VAR_fin</v>
          </cell>
          <cell r="C314" t="str">
            <v>RHNS-SHELCB</v>
          </cell>
          <cell r="H314">
            <v>1.2142334948285989E-2</v>
          </cell>
          <cell r="I314">
            <v>1.201003790690284E-2</v>
          </cell>
          <cell r="J314">
            <v>1.0610792759218772E-2</v>
          </cell>
        </row>
        <row r="315">
          <cell r="A315" t="str">
            <v>RHNS-SHDEM</v>
          </cell>
          <cell r="B315" t="str">
            <v>VAR_fin</v>
          </cell>
          <cell r="C315" t="str">
            <v>RHNS-SHELCH</v>
          </cell>
          <cell r="H315">
            <v>2.7973400128785708</v>
          </cell>
          <cell r="I315">
            <v>3.2592897620658143</v>
          </cell>
          <cell r="J315">
            <v>3.7258383099496677</v>
          </cell>
        </row>
        <row r="316">
          <cell r="A316" t="str">
            <v>RHNS-SHDEM</v>
          </cell>
          <cell r="B316" t="str">
            <v>VAR_fin</v>
          </cell>
          <cell r="C316" t="str">
            <v>RHNS-SHSOL</v>
          </cell>
          <cell r="H316">
            <v>9.4970412966256757E-4</v>
          </cell>
          <cell r="I316">
            <v>1.1851442893899304E-3</v>
          </cell>
          <cell r="J316">
            <v>9.5053373857465926E-4</v>
          </cell>
        </row>
        <row r="317">
          <cell r="A317" t="str">
            <v>RHNS-SHDEM</v>
          </cell>
          <cell r="B317" t="str">
            <v>VAR_fin</v>
          </cell>
          <cell r="C317" t="str">
            <v>RHNS-SHLTHC-NGA</v>
          </cell>
          <cell r="H317">
            <v>8.1799986822105091E-5</v>
          </cell>
          <cell r="I317">
            <v>2.0682000208658915E-4</v>
          </cell>
          <cell r="J317">
            <v>5.2219755899997566E-5</v>
          </cell>
          <cell r="L317"/>
          <cell r="M317"/>
          <cell r="N317"/>
        </row>
        <row r="318">
          <cell r="A318" t="str">
            <v>RHNS-SHDEM</v>
          </cell>
          <cell r="B318" t="str">
            <v>VAR_fin</v>
          </cell>
          <cell r="C318" t="str">
            <v>RHNS-SHNGA</v>
          </cell>
          <cell r="H318">
            <v>8.9676124732479212E-2</v>
          </cell>
          <cell r="I318">
            <v>7.9905428006596474E-2</v>
          </cell>
          <cell r="J318">
            <v>3.7697747106713912E-2</v>
          </cell>
        </row>
        <row r="319">
          <cell r="A319" t="str">
            <v>RES-ELCSPEC</v>
          </cell>
          <cell r="B319" t="str">
            <v>VAR_fout</v>
          </cell>
          <cell r="C319" t="str">
            <v>RHSA-ELS</v>
          </cell>
          <cell r="H319">
            <v>41.197630897510741</v>
          </cell>
          <cell r="I319">
            <v>36.340338383956457</v>
          </cell>
          <cell r="J319">
            <v>25.371852268647789</v>
          </cell>
        </row>
        <row r="320">
          <cell r="A320" t="str">
            <v>RES-ELCSPEC</v>
          </cell>
          <cell r="B320" t="str">
            <v>VAR_fin</v>
          </cell>
          <cell r="C320" t="str">
            <v>RHSA_ELC</v>
          </cell>
          <cell r="H320">
            <v>41.197630897510741</v>
          </cell>
          <cell r="I320">
            <v>36.340338383956457</v>
          </cell>
          <cell r="J320">
            <v>25.371852268647789</v>
          </cell>
        </row>
        <row r="321">
          <cell r="A321" t="str">
            <v>RES-ELCSPEC</v>
          </cell>
          <cell r="B321" t="str">
            <v>VAR_ncap</v>
          </cell>
          <cell r="C321" t="str">
            <v>-</v>
          </cell>
          <cell r="H321">
            <v>6.3836313850077698E-6</v>
          </cell>
          <cell r="I321">
            <v>3.30222652313996E-6</v>
          </cell>
          <cell r="J321">
            <v>2.17346762493914</v>
          </cell>
        </row>
        <row r="322">
          <cell r="A322" t="str">
            <v>RES-ELCSPEC</v>
          </cell>
          <cell r="B322" t="str">
            <v>VAR_cap</v>
          </cell>
          <cell r="C322" t="str">
            <v>-</v>
          </cell>
          <cell r="H322">
            <v>4.3545694898044642</v>
          </cell>
          <cell r="I322">
            <v>3.8411861515409971</v>
          </cell>
          <cell r="J322">
            <v>2.6817889014142913</v>
          </cell>
        </row>
        <row r="323">
          <cell r="A323" t="str">
            <v>SCOM-SHCONBR1</v>
          </cell>
          <cell r="B323" t="str">
            <v>VAR_fout</v>
          </cell>
          <cell r="C323" t="str">
            <v>SCOM-SHCON</v>
          </cell>
          <cell r="H323">
            <v>1.9728676183519973</v>
          </cell>
          <cell r="I323">
            <v>2.6177996575431428</v>
          </cell>
          <cell r="J323">
            <v>2.6178097497712307</v>
          </cell>
        </row>
        <row r="324">
          <cell r="A324" t="str">
            <v>SCOM-SHCONBR1</v>
          </cell>
          <cell r="B324" t="str">
            <v>VAR_fin</v>
          </cell>
          <cell r="C324" t="str">
            <v>CON</v>
          </cell>
          <cell r="H324">
            <v>1.9728676183519973</v>
          </cell>
          <cell r="I324">
            <v>2.6177996575431428</v>
          </cell>
          <cell r="J324">
            <v>2.6178097497712307</v>
          </cell>
        </row>
        <row r="325">
          <cell r="A325" t="str">
            <v>SCOM-SHCONBR1</v>
          </cell>
          <cell r="B325" t="str">
            <v>VAR_ncap</v>
          </cell>
          <cell r="C325" t="str">
            <v>-</v>
          </cell>
          <cell r="H325">
            <v>7.51147165378618E-7</v>
          </cell>
          <cell r="I325">
            <v>1.9600710999276801E-2</v>
          </cell>
          <cell r="J325">
            <v>8.6764149272092694E-2</v>
          </cell>
        </row>
        <row r="326">
          <cell r="A326" t="str">
            <v>SCOM-SHCONBR1</v>
          </cell>
          <cell r="B326" t="str">
            <v>VAR_cap</v>
          </cell>
          <cell r="C326" t="str">
            <v>-</v>
          </cell>
          <cell r="H326">
            <v>0.20230716216532016</v>
          </cell>
          <cell r="I326">
            <v>0.22190879903094224</v>
          </cell>
          <cell r="J326">
            <v>0.22332010295273624</v>
          </cell>
        </row>
        <row r="327">
          <cell r="A327" t="str">
            <v>RHSA-WHSTG-SOL</v>
          </cell>
          <cell r="B327" t="str">
            <v>VAR_fout</v>
          </cell>
          <cell r="C327" t="str">
            <v>RHSA-WHASOL</v>
          </cell>
          <cell r="H327">
            <v>0.36666106667445048</v>
          </cell>
          <cell r="I327">
            <v>0.4484254712040453</v>
          </cell>
          <cell r="J327">
            <v>0.46436780323186821</v>
          </cell>
        </row>
        <row r="328">
          <cell r="A328" t="str">
            <v>RHSA-WHSTG-SOL</v>
          </cell>
          <cell r="B328" t="str">
            <v>VAR_fout</v>
          </cell>
          <cell r="C328" t="str">
            <v>AUX_RHSA-WHSTG-SOL_OUT</v>
          </cell>
          <cell r="H328">
            <v>0.36702772774112524</v>
          </cell>
          <cell r="I328">
            <v>0.44887389667524913</v>
          </cell>
          <cell r="J328">
            <v>0.46483217103509977</v>
          </cell>
        </row>
        <row r="329">
          <cell r="A329" t="str">
            <v>RHSA-WHSTG-SOL</v>
          </cell>
          <cell r="B329" t="str">
            <v>VAR_fin</v>
          </cell>
          <cell r="C329" t="str">
            <v>RHSA-WHASOL</v>
          </cell>
          <cell r="H329">
            <v>0.36666399788903403</v>
          </cell>
          <cell r="I329">
            <v>0.44842234502883421</v>
          </cell>
          <cell r="J329">
            <v>0.46436469960191318</v>
          </cell>
        </row>
        <row r="330">
          <cell r="A330" t="str">
            <v>RHSA-WHSTG-SOL</v>
          </cell>
          <cell r="B330" t="str">
            <v>VAR_ncap</v>
          </cell>
          <cell r="C330" t="str">
            <v>-</v>
          </cell>
          <cell r="H330">
            <v>3.6026866047823201E-2</v>
          </cell>
          <cell r="I330">
            <v>3.2068139161955202E-2</v>
          </cell>
          <cell r="J330">
            <v>3.19313679185231E-2</v>
          </cell>
        </row>
        <row r="331">
          <cell r="A331" t="str">
            <v>RHSA-WHSTG-SOL</v>
          </cell>
          <cell r="B331" t="str">
            <v>VAR_cap</v>
          </cell>
          <cell r="C331" t="str">
            <v>-</v>
          </cell>
          <cell r="H331">
            <v>5.6336964592096868E-2</v>
          </cell>
          <cell r="I331">
            <v>6.8096836103730005E-2</v>
          </cell>
          <cell r="J331">
            <v>7.0443463199560102E-2</v>
          </cell>
        </row>
        <row r="332">
          <cell r="A332" t="str">
            <v>SCOM-SHCONBR2</v>
          </cell>
          <cell r="B332" t="str">
            <v>VAR_fout</v>
          </cell>
          <cell r="C332" t="str">
            <v>SCOM-SHCON</v>
          </cell>
          <cell r="H332">
            <v>3.2356034193198031</v>
          </cell>
          <cell r="I332">
            <v>4.0772733012482583</v>
          </cell>
          <cell r="J332">
            <v>4.0772853966351672</v>
          </cell>
        </row>
        <row r="333">
          <cell r="A333" t="str">
            <v>SCOM-SHCONBR2</v>
          </cell>
          <cell r="B333" t="str">
            <v>VAR_fin</v>
          </cell>
          <cell r="C333" t="str">
            <v>CON</v>
          </cell>
          <cell r="H333">
            <v>3.2356034193198031</v>
          </cell>
          <cell r="I333">
            <v>4.0772733012482583</v>
          </cell>
          <cell r="J333">
            <v>4.0772853966351672</v>
          </cell>
        </row>
        <row r="334">
          <cell r="A334" t="str">
            <v>SCOM-SHCONBR2</v>
          </cell>
          <cell r="B334" t="str">
            <v>VAR_ncap</v>
          </cell>
          <cell r="C334" t="str">
            <v>-</v>
          </cell>
          <cell r="H334">
            <v>7.2645940555511E-7</v>
          </cell>
          <cell r="I334">
            <v>1.7584206594950299E-2</v>
          </cell>
          <cell r="J334">
            <v>0.13178287034486</v>
          </cell>
        </row>
        <row r="335">
          <cell r="A335" t="str">
            <v>SCOM-SHCONBR2</v>
          </cell>
          <cell r="B335" t="str">
            <v>VAR_cap</v>
          </cell>
          <cell r="C335" t="str">
            <v>-</v>
          </cell>
          <cell r="H335">
            <v>0.31508000730419616</v>
          </cell>
          <cell r="I335">
            <v>0.33266517045905991</v>
          </cell>
          <cell r="J335">
            <v>0.33151647488305941</v>
          </cell>
        </row>
        <row r="336">
          <cell r="A336" t="str">
            <v>SCOM-SHCONBR3</v>
          </cell>
          <cell r="B336" t="str">
            <v>VAR_fout</v>
          </cell>
          <cell r="C336" t="str">
            <v>SCOM-SHCON</v>
          </cell>
          <cell r="H336">
            <v>1.7743360294859523</v>
          </cell>
          <cell r="I336">
            <v>2.4874395611583209</v>
          </cell>
          <cell r="J336">
            <v>3.2762455730312698</v>
          </cell>
        </row>
        <row r="337">
          <cell r="A337" t="str">
            <v>SCOM-SHCONBR3</v>
          </cell>
          <cell r="B337" t="str">
            <v>VAR_fin</v>
          </cell>
          <cell r="C337" t="str">
            <v>CON</v>
          </cell>
          <cell r="H337">
            <v>1.7743360294859523</v>
          </cell>
          <cell r="I337">
            <v>2.4874395611583209</v>
          </cell>
          <cell r="J337">
            <v>3.2762455730312698</v>
          </cell>
        </row>
        <row r="338">
          <cell r="A338" t="str">
            <v>SCOM-SHCONBR3</v>
          </cell>
          <cell r="B338" t="str">
            <v>VAR_ncap</v>
          </cell>
          <cell r="C338" t="str">
            <v>-</v>
          </cell>
          <cell r="H338">
            <v>4.5595201000409799E-7</v>
          </cell>
          <cell r="I338">
            <v>6.0212284286695001E-3</v>
          </cell>
          <cell r="J338">
            <v>0.13949597320207699</v>
          </cell>
        </row>
        <row r="339">
          <cell r="A339" t="str">
            <v>SCOM-SHCONBR3</v>
          </cell>
          <cell r="B339" t="str">
            <v>VAR_cap</v>
          </cell>
          <cell r="C339" t="str">
            <v>-</v>
          </cell>
          <cell r="H339">
            <v>0.18629669223287601</v>
          </cell>
          <cell r="I339">
            <v>0.1923189657563398</v>
          </cell>
          <cell r="J339">
            <v>0.25321664403369576</v>
          </cell>
        </row>
        <row r="340">
          <cell r="A340" t="str">
            <v>SCOM-SHCONBR4</v>
          </cell>
          <cell r="B340" t="str">
            <v>VAR_fout</v>
          </cell>
          <cell r="C340" t="str">
            <v>SCOM-SHCON</v>
          </cell>
          <cell r="H340">
            <v>2.4805155161029655E-3</v>
          </cell>
          <cell r="I340">
            <v>4.4850260766216496E-3</v>
          </cell>
          <cell r="J340">
            <v>3.2704524572799696</v>
          </cell>
        </row>
        <row r="341">
          <cell r="A341" t="str">
            <v>SCOM-SHCONBR4</v>
          </cell>
          <cell r="B341" t="str">
            <v>VAR_fin</v>
          </cell>
          <cell r="C341" t="str">
            <v>CON</v>
          </cell>
          <cell r="H341">
            <v>2.4805155161029655E-3</v>
          </cell>
          <cell r="I341">
            <v>4.4850260766216496E-3</v>
          </cell>
          <cell r="J341">
            <v>3.2704524572799696</v>
          </cell>
        </row>
        <row r="342">
          <cell r="A342" t="str">
            <v>SCOM-SHCONBR4</v>
          </cell>
          <cell r="B342" t="str">
            <v>VAR_ncap</v>
          </cell>
          <cell r="C342" t="str">
            <v>-</v>
          </cell>
          <cell r="H342">
            <v>3.9537694823865702E-7</v>
          </cell>
          <cell r="I342">
            <v>6.7333405707600697E-6</v>
          </cell>
          <cell r="J342">
            <v>0.252506599980234</v>
          </cell>
        </row>
        <row r="343">
          <cell r="A343" t="str">
            <v>SCOM-SHCONBR4</v>
          </cell>
          <cell r="B343" t="str">
            <v>VAR_cap</v>
          </cell>
          <cell r="C343" t="str">
            <v>-</v>
          </cell>
          <cell r="H343">
            <v>3.7361310929719729E-4</v>
          </cell>
          <cell r="I343">
            <v>3.8101758418027239E-4</v>
          </cell>
          <cell r="J343">
            <v>0.25273023452155063</v>
          </cell>
        </row>
        <row r="344">
          <cell r="A344" t="str">
            <v>RHEM-SHNGABR</v>
          </cell>
          <cell r="B344" t="str">
            <v>VAR_fout</v>
          </cell>
          <cell r="C344" t="str">
            <v>CO2_R</v>
          </cell>
          <cell r="H344">
            <v>572.52474426115896</v>
          </cell>
          <cell r="I344">
            <v>235.216910803969</v>
          </cell>
          <cell r="J344">
            <v>88.893882920996106</v>
          </cell>
        </row>
        <row r="345">
          <cell r="A345" t="str">
            <v>RHEM-SHNGABR</v>
          </cell>
          <cell r="B345" t="str">
            <v>VAR_fout</v>
          </cell>
          <cell r="C345" t="str">
            <v>RHEM-SHNGA</v>
          </cell>
          <cell r="H345">
            <v>9.574471243871665</v>
          </cell>
          <cell r="I345">
            <v>3.9335898948284229</v>
          </cell>
          <cell r="J345">
            <v>1.4865941329427228</v>
          </cell>
        </row>
        <row r="346">
          <cell r="A346" t="str">
            <v>RHEM-SHNGABR</v>
          </cell>
          <cell r="B346" t="str">
            <v>VAR_fin</v>
          </cell>
          <cell r="C346" t="str">
            <v>RNGA</v>
          </cell>
          <cell r="H346">
            <v>10.151147947892893</v>
          </cell>
          <cell r="I346">
            <v>4.170512602907249</v>
          </cell>
          <cell r="J346">
            <v>1.5761326759041863</v>
          </cell>
        </row>
        <row r="347">
          <cell r="A347" t="str">
            <v>RHEM-SHNGABR</v>
          </cell>
          <cell r="B347" t="str">
            <v>VAR_ncap</v>
          </cell>
          <cell r="C347" t="str">
            <v>-</v>
          </cell>
          <cell r="H347">
            <v>0.19265903140544699</v>
          </cell>
          <cell r="I347">
            <v>6.1421523916636099E-2</v>
          </cell>
          <cell r="J347">
            <v>6.2774661035683902E-7</v>
          </cell>
        </row>
        <row r="348">
          <cell r="A348" t="str">
            <v>RHEM-SHNGABR</v>
          </cell>
          <cell r="B348" t="str">
            <v>VAR_cap</v>
          </cell>
          <cell r="C348" t="str">
            <v>-</v>
          </cell>
          <cell r="H348">
            <v>0.68376985664739209</v>
          </cell>
          <cell r="I348">
            <v>0.27920552113131153</v>
          </cell>
          <cell r="J348">
            <v>0.12605550322646555</v>
          </cell>
        </row>
        <row r="349">
          <cell r="A349" t="str">
            <v>RHNS-SHCONBR1</v>
          </cell>
          <cell r="B349" t="str">
            <v>VAR_ncap</v>
          </cell>
          <cell r="C349" t="str">
            <v>-</v>
          </cell>
          <cell r="H349">
            <v>4.22780343306954</v>
          </cell>
          <cell r="I349"/>
          <cell r="J349"/>
        </row>
        <row r="350">
          <cell r="A350" t="str">
            <v>RHNS-SHCONBR1</v>
          </cell>
          <cell r="B350" t="str">
            <v>VAR_cap</v>
          </cell>
          <cell r="C350" t="str">
            <v>-</v>
          </cell>
          <cell r="H350">
            <v>10.623161129698985</v>
          </cell>
          <cell r="I350">
            <v>6.1462436541299894</v>
          </cell>
          <cell r="J350">
            <v>2.7611819738750114</v>
          </cell>
        </row>
        <row r="351">
          <cell r="A351" t="str">
            <v>SCOM-SHCONBR5</v>
          </cell>
          <cell r="B351" t="str">
            <v>VAR_fout</v>
          </cell>
          <cell r="C351" t="str">
            <v>SCOM-SHCON</v>
          </cell>
          <cell r="H351">
            <v>1.7859035249951978E-3</v>
          </cell>
          <cell r="I351">
            <v>3.1250452509668648E-3</v>
          </cell>
          <cell r="J351">
            <v>0.65352401172181662</v>
          </cell>
        </row>
        <row r="352">
          <cell r="A352" t="str">
            <v>SCOM-SHCONBR5</v>
          </cell>
          <cell r="B352" t="str">
            <v>VAR_fin</v>
          </cell>
          <cell r="C352" t="str">
            <v>CON</v>
          </cell>
          <cell r="H352">
            <v>1.7859035249951978E-3</v>
          </cell>
          <cell r="I352">
            <v>3.1250452509668648E-3</v>
          </cell>
          <cell r="J352">
            <v>0.65352401172181662</v>
          </cell>
        </row>
        <row r="353">
          <cell r="A353" t="str">
            <v>SCOM-SHCONBR5</v>
          </cell>
          <cell r="B353" t="str">
            <v>VAR_ncap</v>
          </cell>
          <cell r="C353" t="str">
            <v>-</v>
          </cell>
          <cell r="H353">
            <v>3.45244815476273E-7</v>
          </cell>
          <cell r="I353">
            <v>7.6263324110696395E-7</v>
          </cell>
          <cell r="J353">
            <v>5.0359522567525801E-2</v>
          </cell>
        </row>
        <row r="354">
          <cell r="A354" t="str">
            <v>SCOM-SHCONBR5</v>
          </cell>
          <cell r="B354" t="str">
            <v>VAR_cap</v>
          </cell>
          <cell r="C354" t="str">
            <v>-</v>
          </cell>
          <cell r="H354">
            <v>2.7066504405620482E-4</v>
          </cell>
          <cell r="I354">
            <v>2.7199157259812903E-4</v>
          </cell>
          <cell r="J354">
            <v>5.0517568059764116E-2</v>
          </cell>
        </row>
        <row r="355">
          <cell r="A355" t="str">
            <v>RHNS-SHCONBR2</v>
          </cell>
          <cell r="B355" t="str">
            <v>VAR_ncap</v>
          </cell>
          <cell r="C355" t="str">
            <v>-</v>
          </cell>
          <cell r="H355">
            <v>4.22780343306977</v>
          </cell>
          <cell r="I355"/>
          <cell r="J355"/>
        </row>
        <row r="356">
          <cell r="A356" t="str">
            <v>RHNS-SHCONBR2</v>
          </cell>
          <cell r="B356" t="str">
            <v>VAR_cap</v>
          </cell>
          <cell r="C356" t="str">
            <v>-</v>
          </cell>
          <cell r="H356">
            <v>10.623161129698985</v>
          </cell>
          <cell r="I356">
            <v>6.1462436541299894</v>
          </cell>
          <cell r="J356">
            <v>2.7611819738750114</v>
          </cell>
        </row>
        <row r="357">
          <cell r="A357" t="str">
            <v>RHES-SHSTG-ELCHP</v>
          </cell>
          <cell r="B357" t="str">
            <v>VAR_fout</v>
          </cell>
          <cell r="C357" t="str">
            <v>RHES-SHAELCH</v>
          </cell>
          <cell r="H357">
            <v>4.0559506048138676</v>
          </cell>
          <cell r="I357">
            <v>3.637554654578826</v>
          </cell>
          <cell r="J357">
            <v>3.5569282838095679</v>
          </cell>
        </row>
        <row r="358">
          <cell r="A358" t="str">
            <v>RHES-SHSTG-ELCHP</v>
          </cell>
          <cell r="B358" t="str">
            <v>VAR_fout</v>
          </cell>
          <cell r="C358" t="str">
            <v>AUX_RHES-SHSTG-ELCHP_OUT</v>
          </cell>
          <cell r="H358">
            <v>4.0600065554186795</v>
          </cell>
          <cell r="I358">
            <v>3.6411922092334037</v>
          </cell>
          <cell r="J358">
            <v>3.5604852120933774</v>
          </cell>
        </row>
        <row r="359">
          <cell r="A359" t="str">
            <v>RHES-SHSTG-ELCHP</v>
          </cell>
          <cell r="B359" t="str">
            <v>VAR_fin</v>
          </cell>
          <cell r="C359" t="str">
            <v>RHES-SHAELCH</v>
          </cell>
          <cell r="H359">
            <v>4.0559682908810037</v>
          </cell>
          <cell r="I359">
            <v>3.6375717140033275</v>
          </cell>
          <cell r="J359">
            <v>3.5569471749283164</v>
          </cell>
        </row>
        <row r="360">
          <cell r="A360" t="str">
            <v>RHES-SHSTG-ELCHP</v>
          </cell>
          <cell r="B360" t="str">
            <v>VAR_ncap</v>
          </cell>
          <cell r="C360" t="str">
            <v>-</v>
          </cell>
          <cell r="H360">
            <v>0.132201221828492</v>
          </cell>
          <cell r="I360">
            <v>0.199260749944352</v>
          </cell>
          <cell r="J360">
            <v>0.184995318115491</v>
          </cell>
        </row>
        <row r="361">
          <cell r="A361" t="str">
            <v>RHES-SHSTG-ELCHP</v>
          </cell>
          <cell r="B361" t="str">
            <v>VAR_cap</v>
          </cell>
          <cell r="C361" t="str">
            <v>-</v>
          </cell>
          <cell r="H361">
            <v>0.36453405624234392</v>
          </cell>
          <cell r="I361">
            <v>0.39346495419365335</v>
          </cell>
          <cell r="J361">
            <v>0.38544925333346824</v>
          </cell>
        </row>
        <row r="362">
          <cell r="A362" t="str">
            <v>SCOM-SHCONBR6</v>
          </cell>
          <cell r="B362" t="str">
            <v>VAR_fout</v>
          </cell>
          <cell r="C362" t="str">
            <v>SCOM-SHCON</v>
          </cell>
          <cell r="H362">
            <v>1.0525708120601828E-3</v>
          </cell>
          <cell r="I362">
            <v>1.7771802171229188E-3</v>
          </cell>
          <cell r="J362">
            <v>1.2078483311111481E-3</v>
          </cell>
        </row>
        <row r="363">
          <cell r="A363" t="str">
            <v>SCOM-SHCONBR6</v>
          </cell>
          <cell r="B363" t="str">
            <v>VAR_fin</v>
          </cell>
          <cell r="C363" t="str">
            <v>CON</v>
          </cell>
          <cell r="H363">
            <v>1.0525708120601828E-3</v>
          </cell>
          <cell r="I363">
            <v>1.7771802171229188E-3</v>
          </cell>
          <cell r="J363">
            <v>1.2078483311111481E-3</v>
          </cell>
        </row>
        <row r="364">
          <cell r="A364" t="str">
            <v>SCOM-SHCONBR6</v>
          </cell>
          <cell r="B364" t="str">
            <v>VAR_ncap</v>
          </cell>
          <cell r="C364" t="str">
            <v>-</v>
          </cell>
          <cell r="H364">
            <v>2.9952326740525398E-7</v>
          </cell>
          <cell r="I364">
            <v>4.52394297428788E-7</v>
          </cell>
          <cell r="J364">
            <v>1.03121436612513E-5</v>
          </cell>
        </row>
        <row r="365">
          <cell r="A365" t="str">
            <v>SCOM-SHCONBR6</v>
          </cell>
          <cell r="B365" t="str">
            <v>VAR_cap</v>
          </cell>
          <cell r="C365" t="str">
            <v>-</v>
          </cell>
          <cell r="H365">
            <v>1.6084631012838567E-4</v>
          </cell>
          <cell r="I365">
            <v>1.6165754493509274E-4</v>
          </cell>
          <cell r="J365">
            <v>1.0443702235400401E-4</v>
          </cell>
        </row>
        <row r="366">
          <cell r="A366" t="str">
            <v>RHNM-SHDEM</v>
          </cell>
          <cell r="B366" t="str">
            <v>VAR_fout</v>
          </cell>
          <cell r="C366" t="str">
            <v>RHNM-SHD</v>
          </cell>
          <cell r="H366">
            <v>4.4973187302312452</v>
          </cell>
          <cell r="I366">
            <v>5.1749266169313612</v>
          </cell>
          <cell r="J366">
            <v>5.6457981766686798</v>
          </cell>
        </row>
        <row r="367">
          <cell r="A367" t="str">
            <v>RHNM-SHDEM</v>
          </cell>
          <cell r="B367" t="str">
            <v>VAR_fin</v>
          </cell>
          <cell r="C367" t="str">
            <v>RHNM-SHLFO</v>
          </cell>
          <cell r="H367">
            <v>0.11567021533745646</v>
          </cell>
          <cell r="I367">
            <v>8.9423693402709767E-2</v>
          </cell>
          <cell r="J367">
            <v>3.7643116351865966E-5</v>
          </cell>
        </row>
        <row r="368">
          <cell r="A368" t="str">
            <v>RHNM-SHDEM</v>
          </cell>
          <cell r="B368" t="str">
            <v>VAR_fin</v>
          </cell>
          <cell r="C368" t="str">
            <v>RHNM-SHLTHD</v>
          </cell>
          <cell r="H368">
            <v>0.31548591698532014</v>
          </cell>
          <cell r="I368">
            <v>0.35932369735839581</v>
          </cell>
          <cell r="J368">
            <v>0.41763856207534761</v>
          </cell>
        </row>
        <row r="369">
          <cell r="A369" t="str">
            <v>RHNM-SHDEM</v>
          </cell>
          <cell r="B369" t="str">
            <v>VAR_fin</v>
          </cell>
          <cell r="C369" t="str">
            <v>RHNM-SHCON</v>
          </cell>
          <cell r="H369">
            <v>3.6052868187621762E-3</v>
          </cell>
          <cell r="I369">
            <v>9.7818266440116222E-3</v>
          </cell>
          <cell r="J369">
            <v>9.6532152891287935E-3</v>
          </cell>
        </row>
        <row r="370">
          <cell r="A370" t="str">
            <v>RHNM-SHDEM</v>
          </cell>
          <cell r="B370" t="str">
            <v>VAR_fin</v>
          </cell>
          <cell r="C370" t="str">
            <v>RHNM-SHELCB</v>
          </cell>
          <cell r="H370">
            <v>2.3156799559549174E-3</v>
          </cell>
          <cell r="I370">
            <v>2.998902868062466E-3</v>
          </cell>
          <cell r="J370">
            <v>2.6817982672803845E-3</v>
          </cell>
        </row>
        <row r="371">
          <cell r="A371" t="str">
            <v>RHNM-SHDEM</v>
          </cell>
          <cell r="B371" t="str">
            <v>VAR_fin</v>
          </cell>
          <cell r="C371" t="str">
            <v>RHNM-SHWOD</v>
          </cell>
          <cell r="H371">
            <v>0.10001823939576529</v>
          </cell>
          <cell r="I371">
            <v>0.10490500971537806</v>
          </cell>
          <cell r="J371">
            <v>8.8032869435636235E-2</v>
          </cell>
        </row>
        <row r="372">
          <cell r="A372" t="str">
            <v>RHNM-SHDEM</v>
          </cell>
          <cell r="B372" t="str">
            <v>VAR_fin</v>
          </cell>
          <cell r="C372" t="str">
            <v>RHNM-SHELCH</v>
          </cell>
          <cell r="H372">
            <v>2.4896251196914578</v>
          </cell>
          <cell r="I372">
            <v>2.931681919340476</v>
          </cell>
          <cell r="J372">
            <v>3.3829679564415991</v>
          </cell>
        </row>
        <row r="373">
          <cell r="A373" t="str">
            <v>RHNM-SHDEM</v>
          </cell>
          <cell r="B373" t="str">
            <v>VAR_fin</v>
          </cell>
          <cell r="C373" t="str">
            <v>RHNM-SHNST</v>
          </cell>
          <cell r="H373">
            <v>1.8781012756987446E-4</v>
          </cell>
          <cell r="I373">
            <v>7.818046497859942E-4</v>
          </cell>
          <cell r="J373">
            <v>1.1605102085845678E-4</v>
          </cell>
        </row>
        <row r="374">
          <cell r="A374" t="str">
            <v>RHNM-SHDEM</v>
          </cell>
          <cell r="B374" t="str">
            <v>VAR_fin</v>
          </cell>
          <cell r="C374" t="str">
            <v>RHNM-SHPLT</v>
          </cell>
          <cell r="H374">
            <v>2.2104558880022423E-2</v>
          </cell>
          <cell r="I374">
            <v>2.4193233303876904E-2</v>
          </cell>
          <cell r="J374">
            <v>2.8157998814940396E-2</v>
          </cell>
        </row>
        <row r="375">
          <cell r="A375" t="str">
            <v>RHNM-SHDEM</v>
          </cell>
          <cell r="B375" t="str">
            <v>VAR_fin</v>
          </cell>
          <cell r="C375" t="str">
            <v>RHNM-SHLTHC-NGA</v>
          </cell>
          <cell r="H375">
            <v>2.3617618080592459E-5</v>
          </cell>
          <cell r="I375"/>
          <cell r="J375">
            <v>9.9523178264581525E-5</v>
          </cell>
        </row>
        <row r="376">
          <cell r="A376" t="str">
            <v>RHNM-SHDEM</v>
          </cell>
          <cell r="B376" t="str">
            <v>VAR_fin</v>
          </cell>
          <cell r="C376" t="str">
            <v>RHNM-SHSOL</v>
          </cell>
          <cell r="H376">
            <v>9.4923570079211324E-4</v>
          </cell>
          <cell r="I376">
            <v>1.4604260977693052E-3</v>
          </cell>
          <cell r="J376">
            <v>1.1465427887431341E-3</v>
          </cell>
        </row>
        <row r="377">
          <cell r="A377" t="str">
            <v>RHNM-SHDEM</v>
          </cell>
          <cell r="B377" t="str">
            <v>VAR_fin</v>
          </cell>
          <cell r="C377" t="str">
            <v>RHNM-SHLTHC-WOD</v>
          </cell>
          <cell r="H377">
            <v>3.627488641402802E-4</v>
          </cell>
          <cell r="I377"/>
          <cell r="J377">
            <v>1.3118112091088061E-4</v>
          </cell>
        </row>
        <row r="378">
          <cell r="A378" t="str">
            <v>RHNM-SHDEM</v>
          </cell>
          <cell r="B378" t="str">
            <v>VAR_fin</v>
          </cell>
          <cell r="C378" t="str">
            <v>RHNM-SHNGAH</v>
          </cell>
          <cell r="H378">
            <v>1.2943648694974508</v>
          </cell>
          <cell r="I378">
            <v>1.5575338845026618</v>
          </cell>
          <cell r="J378">
            <v>1.715239434869759</v>
          </cell>
        </row>
        <row r="379">
          <cell r="A379" t="str">
            <v>RHNM-SHDEM</v>
          </cell>
          <cell r="B379" t="str">
            <v>VAR_fin</v>
          </cell>
          <cell r="C379" t="str">
            <v>RHNM-SHNGA</v>
          </cell>
          <cell r="H379">
            <v>0.15326923746661575</v>
          </cell>
          <cell r="I379">
            <v>9.3364897326166291E-2</v>
          </cell>
          <cell r="J379">
            <v>2.7292217095611416E-4</v>
          </cell>
        </row>
        <row r="380">
          <cell r="A380" t="str">
            <v>SCOM-STG-ELCSPEC</v>
          </cell>
          <cell r="B380" t="str">
            <v>VAR_fout</v>
          </cell>
          <cell r="C380" t="str">
            <v>SCOM-ELS</v>
          </cell>
          <cell r="H380">
            <v>4.0046320581129065E-2</v>
          </cell>
          <cell r="I380">
            <v>1.5192715437202913</v>
          </cell>
          <cell r="J380">
            <v>1.5004985517494578</v>
          </cell>
        </row>
        <row r="381">
          <cell r="A381" t="str">
            <v>SCOM-STG-ELCSPEC</v>
          </cell>
          <cell r="B381" t="str">
            <v>VAR_fin</v>
          </cell>
          <cell r="C381" t="str">
            <v>SCOM-ELS</v>
          </cell>
          <cell r="H381">
            <v>4.0051370555071596E-2</v>
          </cell>
          <cell r="I381">
            <v>1.5192767740504518</v>
          </cell>
          <cell r="J381">
            <v>1.5005011669145363</v>
          </cell>
        </row>
        <row r="382">
          <cell r="A382" t="str">
            <v>SCOM-STG-ELCSPEC</v>
          </cell>
          <cell r="B382" t="str">
            <v>VAR_ncap</v>
          </cell>
          <cell r="C382" t="str">
            <v>-</v>
          </cell>
          <cell r="H382">
            <v>1.2574853876839401E-4</v>
          </cell>
          <cell r="I382">
            <v>6.6053549322669602E-2</v>
          </cell>
          <cell r="J382">
            <v>8.3255063028099205E-4</v>
          </cell>
        </row>
        <row r="383">
          <cell r="A383" t="str">
            <v>SCOM-STG-ELCSPEC</v>
          </cell>
          <cell r="B383" t="str">
            <v>VAR_cap</v>
          </cell>
          <cell r="C383" t="str">
            <v>-</v>
          </cell>
          <cell r="H383">
            <v>1.4971296133431172E-3</v>
          </cell>
          <cell r="I383">
            <v>6.6969157746627442E-2</v>
          </cell>
          <cell r="J383">
            <v>6.6993181778422201E-2</v>
          </cell>
        </row>
        <row r="384">
          <cell r="A384" t="str">
            <v>RHNS-SHCONBR3</v>
          </cell>
          <cell r="B384" t="str">
            <v>VAR_ncap</v>
          </cell>
          <cell r="C384" t="str">
            <v>-</v>
          </cell>
          <cell r="H384">
            <v>4.22780343306954</v>
          </cell>
          <cell r="I384"/>
          <cell r="J384"/>
        </row>
        <row r="385">
          <cell r="A385" t="str">
            <v>RHNS-SHCONBR3</v>
          </cell>
          <cell r="B385" t="str">
            <v>VAR_cap</v>
          </cell>
          <cell r="C385" t="str">
            <v>-</v>
          </cell>
          <cell r="H385">
            <v>10.623161129698985</v>
          </cell>
          <cell r="I385">
            <v>6.1462436541299894</v>
          </cell>
          <cell r="J385">
            <v>2.7611819738750114</v>
          </cell>
        </row>
        <row r="386">
          <cell r="A386" t="str">
            <v>SCOM-SHCONBR7</v>
          </cell>
          <cell r="B386" t="str">
            <v>VAR_fout</v>
          </cell>
          <cell r="C386" t="str">
            <v>SCOM-SHCON</v>
          </cell>
          <cell r="H386">
            <v>6.1371353717903985E-4</v>
          </cell>
          <cell r="I386">
            <v>9.8050263740561729E-4</v>
          </cell>
          <cell r="J386">
            <v>6.1027925957140748E-4</v>
          </cell>
        </row>
        <row r="387">
          <cell r="A387" t="str">
            <v>SCOM-SHCONBR7</v>
          </cell>
          <cell r="B387" t="str">
            <v>VAR_fin</v>
          </cell>
          <cell r="C387" t="str">
            <v>CON</v>
          </cell>
          <cell r="H387">
            <v>6.1371353717903985E-4</v>
          </cell>
          <cell r="I387">
            <v>9.8050263740561729E-4</v>
          </cell>
          <cell r="J387">
            <v>6.1027925957140748E-4</v>
          </cell>
        </row>
        <row r="388">
          <cell r="A388" t="str">
            <v>SCOM-SHCONBR7</v>
          </cell>
          <cell r="B388" t="str">
            <v>VAR_ncap</v>
          </cell>
          <cell r="C388" t="str">
            <v>-</v>
          </cell>
          <cell r="H388">
            <v>2.0757903119248701E-7</v>
          </cell>
          <cell r="I388"/>
          <cell r="J388">
            <v>5.4918969941988501E-7</v>
          </cell>
        </row>
        <row r="389">
          <cell r="A389" t="str">
            <v>SCOM-SHCONBR7</v>
          </cell>
          <cell r="B389" t="str">
            <v>VAR_cap</v>
          </cell>
          <cell r="C389" t="str">
            <v>-</v>
          </cell>
          <cell r="H389">
            <v>9.3496459423175637E-5</v>
          </cell>
          <cell r="I389">
            <v>9.366492526774334E-5</v>
          </cell>
          <cell r="J389">
            <v>5.5050689491400372E-5</v>
          </cell>
        </row>
        <row r="390">
          <cell r="A390" t="str">
            <v>RHNS-SHCONBR4</v>
          </cell>
          <cell r="B390" t="str">
            <v>VAR_ncap</v>
          </cell>
          <cell r="C390" t="str">
            <v>-</v>
          </cell>
          <cell r="H390">
            <v>4.22780343306977</v>
          </cell>
          <cell r="I390"/>
          <cell r="J390"/>
        </row>
        <row r="391">
          <cell r="A391" t="str">
            <v>RHNS-SHCONBR4</v>
          </cell>
          <cell r="B391" t="str">
            <v>VAR_cap</v>
          </cell>
          <cell r="C391" t="str">
            <v>-</v>
          </cell>
          <cell r="H391">
            <v>10.623161129698985</v>
          </cell>
          <cell r="I391">
            <v>6.1462436541299894</v>
          </cell>
          <cell r="J391">
            <v>2.7611819738750114</v>
          </cell>
        </row>
        <row r="392">
          <cell r="A392" t="str">
            <v>SCOM-SHCONBR8</v>
          </cell>
          <cell r="B392" t="str">
            <v>VAR_fout</v>
          </cell>
          <cell r="C392" t="str">
            <v>SCOM-SHCON</v>
          </cell>
          <cell r="H392">
            <v>2.1707138578150101E-4</v>
          </cell>
          <cell r="I392">
            <v>2.951397430624212E-4</v>
          </cell>
          <cell r="J392">
            <v>1.9098123634703814E-4</v>
          </cell>
        </row>
        <row r="393">
          <cell r="A393" t="str">
            <v>SCOM-SHCONBR8</v>
          </cell>
          <cell r="B393" t="str">
            <v>VAR_fin</v>
          </cell>
          <cell r="C393" t="str">
            <v>CON</v>
          </cell>
          <cell r="H393">
            <v>2.1707138578150101E-4</v>
          </cell>
          <cell r="I393">
            <v>2.951397430624212E-4</v>
          </cell>
          <cell r="J393">
            <v>1.9098123634703814E-4</v>
          </cell>
        </row>
        <row r="394">
          <cell r="A394" t="str">
            <v>SCOM-SHCONBR8</v>
          </cell>
          <cell r="B394" t="str">
            <v>VAR_ncap</v>
          </cell>
          <cell r="C394" t="str">
            <v>-</v>
          </cell>
          <cell r="H394">
            <v>8.8944662176585099E-8</v>
          </cell>
          <cell r="I394"/>
          <cell r="J394">
            <v>1.0839475893585E-7</v>
          </cell>
        </row>
        <row r="395">
          <cell r="A395" t="str">
            <v>SCOM-SHCONBR8</v>
          </cell>
          <cell r="B395" t="str">
            <v>VAR_cap</v>
          </cell>
          <cell r="C395" t="str">
            <v>-</v>
          </cell>
          <cell r="H395">
            <v>3.0607098786599249E-5</v>
          </cell>
          <cell r="I395">
            <v>3.0606585652098362E-5</v>
          </cell>
          <cell r="J395">
            <v>1.7959882936769147E-5</v>
          </cell>
        </row>
        <row r="396">
          <cell r="A396" t="str">
            <v>ITOT-ELCSPEC</v>
          </cell>
          <cell r="B396" t="str">
            <v>VAR_fout</v>
          </cell>
          <cell r="C396" t="str">
            <v>ITOT-ELS</v>
          </cell>
          <cell r="H396">
            <v>54.444844320897118</v>
          </cell>
          <cell r="I396">
            <v>51.362944724903556</v>
          </cell>
          <cell r="J396">
            <v>52.801191422186157</v>
          </cell>
        </row>
        <row r="397">
          <cell r="A397" t="str">
            <v>ITOT-ELCSPEC</v>
          </cell>
          <cell r="B397" t="str">
            <v>VAR_fin</v>
          </cell>
          <cell r="C397" t="str">
            <v>ITOT_ELC</v>
          </cell>
          <cell r="H397">
            <v>54.444844320897118</v>
          </cell>
          <cell r="I397">
            <v>51.362944724903556</v>
          </cell>
          <cell r="J397">
            <v>52.801191422186157</v>
          </cell>
        </row>
        <row r="398">
          <cell r="A398" t="str">
            <v>ITOT-ELCSPEC</v>
          </cell>
          <cell r="B398" t="str">
            <v>VAR_ncap</v>
          </cell>
          <cell r="C398" t="str">
            <v>-</v>
          </cell>
          <cell r="H398">
            <v>0.102850498388533</v>
          </cell>
          <cell r="I398">
            <v>6.1174964573887801E-6</v>
          </cell>
          <cell r="J398">
            <v>2.4465771577869599</v>
          </cell>
        </row>
        <row r="399">
          <cell r="A399" t="str">
            <v>ITOT-ELCSPEC</v>
          </cell>
          <cell r="B399" t="str">
            <v>VAR_cap</v>
          </cell>
          <cell r="C399" t="str">
            <v>-</v>
          </cell>
          <cell r="H399">
            <v>2.9608672799150919</v>
          </cell>
          <cell r="I399">
            <v>2.7932738668301118</v>
          </cell>
          <cell r="J399">
            <v>2.8714797910261538</v>
          </cell>
        </row>
        <row r="400">
          <cell r="A400" t="str">
            <v>RHNM-SHLTHDH</v>
          </cell>
          <cell r="B400" t="str">
            <v>VAR_fout</v>
          </cell>
          <cell r="C400" t="str">
            <v>RHNM-SHLTHD</v>
          </cell>
          <cell r="H400">
            <v>0.31628179662844558</v>
          </cell>
          <cell r="I400">
            <v>0.36041222322839994</v>
          </cell>
          <cell r="J400">
            <v>0.41889655125758041</v>
          </cell>
        </row>
        <row r="401">
          <cell r="A401" t="str">
            <v>RHNM-SHLTHDH</v>
          </cell>
          <cell r="B401" t="str">
            <v>VAR_fin</v>
          </cell>
          <cell r="C401" t="str">
            <v>RHNMLTHDHC</v>
          </cell>
          <cell r="H401">
            <v>0.31628179662844558</v>
          </cell>
          <cell r="I401">
            <v>0.36041222322839994</v>
          </cell>
          <cell r="J401">
            <v>0.41889655125758041</v>
          </cell>
        </row>
        <row r="402">
          <cell r="A402" t="str">
            <v>RHNM-SHLTHDH</v>
          </cell>
          <cell r="B402" t="str">
            <v>VAR_fin</v>
          </cell>
          <cell r="C402" t="str">
            <v>RHNM_LTH_DH</v>
          </cell>
          <cell r="H402">
            <v>0.34782755385134323</v>
          </cell>
          <cell r="I402">
            <v>0.39602648048032141</v>
          </cell>
          <cell r="J402">
            <v>0.46028995741011158</v>
          </cell>
        </row>
        <row r="403">
          <cell r="A403" t="str">
            <v>RHNM-SHLTHDH</v>
          </cell>
          <cell r="B403" t="str">
            <v>VAR_ncap</v>
          </cell>
          <cell r="C403" t="str">
            <v>-</v>
          </cell>
          <cell r="H403">
            <v>2.61919080376515E-2</v>
          </cell>
          <cell r="I403">
            <v>1.5107871792204301E-2</v>
          </cell>
          <cell r="J403">
            <v>1.6804805041758498E-2</v>
          </cell>
        </row>
        <row r="404">
          <cell r="A404" t="str">
            <v>RHNM-SHLTHDH</v>
          </cell>
          <cell r="B404" t="str">
            <v>VAR_cap</v>
          </cell>
          <cell r="C404" t="str">
            <v>-</v>
          </cell>
          <cell r="H404">
            <v>4.1936267811502496E-2</v>
          </cell>
          <cell r="I404">
            <v>3.4432842560047111E-2</v>
          </cell>
          <cell r="J404">
            <v>3.4289502324695117E-2</v>
          </cell>
        </row>
        <row r="405">
          <cell r="A405" t="str">
            <v>RHNS-SHCONBR5</v>
          </cell>
          <cell r="B405" t="str">
            <v>VAR_ncap</v>
          </cell>
          <cell r="C405" t="str">
            <v>-</v>
          </cell>
          <cell r="H405">
            <v>4.22780343306954</v>
          </cell>
          <cell r="I405"/>
          <cell r="J405"/>
        </row>
        <row r="406">
          <cell r="A406" t="str">
            <v>RHNS-SHCONBR5</v>
          </cell>
          <cell r="B406" t="str">
            <v>VAR_cap</v>
          </cell>
          <cell r="C406" t="str">
            <v>-</v>
          </cell>
          <cell r="H406">
            <v>10.623161129698985</v>
          </cell>
          <cell r="I406">
            <v>6.1462436541299894</v>
          </cell>
          <cell r="J406">
            <v>2.7611819738750114</v>
          </cell>
        </row>
        <row r="407">
          <cell r="A407" t="str">
            <v>SCOM-SHCONBR9</v>
          </cell>
          <cell r="B407" t="str">
            <v>VAR_fout</v>
          </cell>
          <cell r="C407" t="str">
            <v>SCOM-SHCON</v>
          </cell>
          <cell r="H407">
            <v>7.884476156488069E-5</v>
          </cell>
          <cell r="I407">
            <v>8.8291907285144921E-5</v>
          </cell>
          <cell r="J407">
            <v>6.2032669589807569E-5</v>
          </cell>
        </row>
        <row r="408">
          <cell r="A408" t="str">
            <v>SCOM-SHCONBR9</v>
          </cell>
          <cell r="B408" t="str">
            <v>VAR_fin</v>
          </cell>
          <cell r="C408" t="str">
            <v>CON</v>
          </cell>
          <cell r="H408">
            <v>7.884476156488069E-5</v>
          </cell>
          <cell r="I408">
            <v>8.8291907285144921E-5</v>
          </cell>
          <cell r="J408">
            <v>6.2032669589807569E-5</v>
          </cell>
        </row>
        <row r="409">
          <cell r="A409" t="str">
            <v>SCOM-SHCONBR9</v>
          </cell>
          <cell r="B409" t="str">
            <v>VAR_ncap</v>
          </cell>
          <cell r="C409" t="str">
            <v>-</v>
          </cell>
          <cell r="H409">
            <v>4.1709130409890402E-8</v>
          </cell>
          <cell r="I409"/>
          <cell r="J409">
            <v>4.0040104656995401E-8</v>
          </cell>
        </row>
        <row r="410">
          <cell r="A410" t="str">
            <v>SCOM-SHCONBR9</v>
          </cell>
          <cell r="B410" t="str">
            <v>VAR_cap</v>
          </cell>
          <cell r="C410" t="str">
            <v>-</v>
          </cell>
          <cell r="H410">
            <v>7.8048312020225198E-6</v>
          </cell>
          <cell r="I410">
            <v>7.7829476565018777E-6</v>
          </cell>
          <cell r="J410">
            <v>4.6309380120577018E-6</v>
          </cell>
        </row>
        <row r="411">
          <cell r="A411" t="str">
            <v>ITOT-SWHCOABR</v>
          </cell>
          <cell r="B411" t="str">
            <v>VAR_fout</v>
          </cell>
          <cell r="C411" t="str">
            <v>ITOT-SWH</v>
          </cell>
          <cell r="H411">
            <v>3.1279060027844426E-3</v>
          </cell>
          <cell r="I411">
            <v>3.3790500465232849E-4</v>
          </cell>
          <cell r="J411">
            <v>5.6504530200786536E-6</v>
          </cell>
        </row>
        <row r="412">
          <cell r="A412" t="str">
            <v>ITOT-SWHCOABR</v>
          </cell>
          <cell r="B412" t="str">
            <v>VAR_fout</v>
          </cell>
          <cell r="C412" t="str">
            <v>CO2_I</v>
          </cell>
          <cell r="H412">
            <v>0.43116265644329799</v>
          </cell>
          <cell r="I412">
            <v>4.6405620638919703E-2</v>
          </cell>
          <cell r="J412">
            <v>7.7028969847248705E-4</v>
          </cell>
        </row>
        <row r="413">
          <cell r="A413" t="str">
            <v>ITOT-SWHCOABR</v>
          </cell>
          <cell r="B413" t="str">
            <v>VAR_fin</v>
          </cell>
          <cell r="C413" t="str">
            <v>ICOA</v>
          </cell>
          <cell r="H413">
            <v>4.6511613424303957E-3</v>
          </cell>
          <cell r="I413">
            <v>5.0060000689233861E-4</v>
          </cell>
          <cell r="J413">
            <v>8.3094897354097788E-6</v>
          </cell>
        </row>
        <row r="414">
          <cell r="A414" t="str">
            <v>ITOT-SWHCOABR</v>
          </cell>
          <cell r="B414" t="str">
            <v>VAR_ncap</v>
          </cell>
          <cell r="C414" t="str">
            <v>-</v>
          </cell>
          <cell r="H414">
            <v>2.6297930780494401E-4</v>
          </cell>
          <cell r="I414">
            <v>7.4761280136089E-6</v>
          </cell>
          <cell r="J414">
            <v>1.6498351776759099E-6</v>
          </cell>
        </row>
        <row r="415">
          <cell r="A415" t="str">
            <v>ITOT-SWHCOABR</v>
          </cell>
          <cell r="B415" t="str">
            <v>VAR_cap</v>
          </cell>
          <cell r="C415" t="str">
            <v>-</v>
          </cell>
          <cell r="H415">
            <v>2.9171329158080017E-4</v>
          </cell>
          <cell r="I415">
            <v>3.206111632570298E-5</v>
          </cell>
          <cell r="J415">
            <v>7.1967193923999835E-7</v>
          </cell>
        </row>
        <row r="416">
          <cell r="A416" t="str">
            <v>RHSA-WHDEM</v>
          </cell>
          <cell r="B416" t="str">
            <v>VAR_fout</v>
          </cell>
          <cell r="C416" t="str">
            <v>RHSA-WHD</v>
          </cell>
          <cell r="H416">
            <v>26.103817093242888</v>
          </cell>
          <cell r="I416">
            <v>29.619438691662182</v>
          </cell>
          <cell r="J416">
            <v>32.43523628800228</v>
          </cell>
        </row>
        <row r="417">
          <cell r="A417" t="str">
            <v>RHSA-WHDEM</v>
          </cell>
          <cell r="B417" t="str">
            <v>VAR_fin</v>
          </cell>
          <cell r="C417" t="str">
            <v>RHSA-WHNGA</v>
          </cell>
          <cell r="H417">
            <v>2.4391143455943594</v>
          </cell>
          <cell r="I417">
            <v>1.5003412898480595</v>
          </cell>
          <cell r="J417">
            <v>0.70544841309018413</v>
          </cell>
        </row>
        <row r="418">
          <cell r="A418" t="str">
            <v>RHSA-WHDEM</v>
          </cell>
          <cell r="B418" t="str">
            <v>VAR_fin</v>
          </cell>
          <cell r="C418" t="str">
            <v>RHSA-WHLFO</v>
          </cell>
          <cell r="H418">
            <v>1.5539476562682326</v>
          </cell>
          <cell r="I418">
            <v>0.89322168644541444</v>
          </cell>
          <cell r="J418">
            <v>0.15121698393267585</v>
          </cell>
        </row>
        <row r="419">
          <cell r="A419" t="str">
            <v>RHSA-WHDEM</v>
          </cell>
          <cell r="B419" t="str">
            <v>VAR_fin</v>
          </cell>
          <cell r="C419" t="str">
            <v>RHSA-WHWOD</v>
          </cell>
          <cell r="H419">
            <v>1.1064826018018517</v>
          </cell>
          <cell r="I419">
            <v>1.0537483256216709</v>
          </cell>
          <cell r="J419">
            <v>0.81230150317642791</v>
          </cell>
        </row>
        <row r="420">
          <cell r="A420" t="str">
            <v>RHSA-WHDEM</v>
          </cell>
          <cell r="B420" t="str">
            <v>VAR_fin</v>
          </cell>
          <cell r="C420" t="str">
            <v>RHSA-WHNGAH</v>
          </cell>
          <cell r="H420">
            <v>5.1646614432251594</v>
          </cell>
          <cell r="I420">
            <v>6.8046763932570498</v>
          </cell>
          <cell r="J420">
            <v>7.7901057776976206</v>
          </cell>
        </row>
        <row r="421">
          <cell r="A421" t="str">
            <v>RHSA-WHDEM</v>
          </cell>
          <cell r="B421" t="str">
            <v>VAR_fin</v>
          </cell>
          <cell r="C421" t="str">
            <v>RHSA-WHNST</v>
          </cell>
          <cell r="H421">
            <v>1.8581316438855778E-5</v>
          </cell>
          <cell r="I421">
            <v>1.9393284204432366E-5</v>
          </cell>
          <cell r="J421">
            <v>2.3516609524203669E-5</v>
          </cell>
        </row>
        <row r="422">
          <cell r="A422" t="str">
            <v>RHSA-WHDEM</v>
          </cell>
          <cell r="B422" t="str">
            <v>VAR_fin</v>
          </cell>
          <cell r="C422" t="str">
            <v>RHSA-WHPLT</v>
          </cell>
          <cell r="H422">
            <v>0.12208229749948098</v>
          </cell>
          <cell r="I422">
            <v>0.14266868642328426</v>
          </cell>
          <cell r="J422">
            <v>0.15093303147295931</v>
          </cell>
        </row>
        <row r="423">
          <cell r="A423" t="str">
            <v>RHSA-WHDEM</v>
          </cell>
          <cell r="B423" t="str">
            <v>VAR_fin</v>
          </cell>
          <cell r="C423" t="str">
            <v>RHSA-WHLTHRD</v>
          </cell>
          <cell r="H423">
            <v>1.7926114216359177</v>
          </cell>
          <cell r="I423">
            <v>2.136289138665822</v>
          </cell>
          <cell r="J423">
            <v>2.4648512737924091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RHSA-WHELCB</v>
          </cell>
          <cell r="H424">
            <v>2.0816929339273043</v>
          </cell>
          <cell r="I424">
            <v>1.9796883330314965</v>
          </cell>
          <cell r="J424">
            <v>1.7784740235634562</v>
          </cell>
        </row>
        <row r="425">
          <cell r="A425" t="str">
            <v>RHSA-WHDEM</v>
          </cell>
          <cell r="B425" t="str">
            <v>VAR_fin</v>
          </cell>
          <cell r="C425" t="str">
            <v>RHSA-WHSOL</v>
          </cell>
          <cell r="H425">
            <v>1.1452118351186389</v>
          </cell>
          <cell r="I425">
            <v>1.2625971994923102</v>
          </cell>
          <cell r="J425">
            <v>1.2989628873279466</v>
          </cell>
        </row>
        <row r="426">
          <cell r="A426" t="str">
            <v>RHSA-WHDEM</v>
          </cell>
          <cell r="B426" t="str">
            <v>VAR_fin</v>
          </cell>
          <cell r="C426" t="str">
            <v>RHSA-WHELCH</v>
          </cell>
          <cell r="H426">
            <v>10.698384487944509</v>
          </cell>
          <cell r="I426">
            <v>13.846508259963219</v>
          </cell>
          <cell r="J426">
            <v>17.283237179835176</v>
          </cell>
        </row>
        <row r="427">
          <cell r="A427" t="str">
            <v>RHSA-WHNGAHP</v>
          </cell>
          <cell r="B427" t="str">
            <v>VAR_fout</v>
          </cell>
          <cell r="C427" t="str">
            <v>RHSA-WHANGAH</v>
          </cell>
          <cell r="H427">
            <v>5.1646431534124764</v>
          </cell>
          <cell r="I427">
            <v>6.8046559008177239</v>
          </cell>
          <cell r="J427">
            <v>7.7900979771750292</v>
          </cell>
        </row>
        <row r="428">
          <cell r="A428" t="str">
            <v>RHSA-WHNGAHP</v>
          </cell>
          <cell r="B428" t="str">
            <v>VAR_fout</v>
          </cell>
          <cell r="C428" t="str">
            <v>CO2_R</v>
          </cell>
          <cell r="H428">
            <v>118.48489851199101</v>
          </cell>
          <cell r="I428">
            <v>148.477011711139</v>
          </cell>
          <cell r="J428">
            <v>141.93472339807099</v>
          </cell>
        </row>
        <row r="429">
          <cell r="A429" t="str">
            <v>RHSA-WHNGAHP</v>
          </cell>
          <cell r="B429" t="str">
            <v>VAR_fin</v>
          </cell>
          <cell r="C429" t="str">
            <v>RNGA</v>
          </cell>
          <cell r="H429">
            <v>2.1007960729076367</v>
          </cell>
          <cell r="I429">
            <v>2.6325711296301226</v>
          </cell>
          <cell r="J429">
            <v>2.5165731098948672</v>
          </cell>
        </row>
        <row r="430">
          <cell r="A430" t="str">
            <v>RHSA-WHNGAHP</v>
          </cell>
          <cell r="B430" t="str">
            <v>VAR_ncap</v>
          </cell>
          <cell r="C430" t="str">
            <v>-</v>
          </cell>
          <cell r="H430">
            <v>0.136521666206422</v>
          </cell>
          <cell r="I430">
            <v>0.21737540595693799</v>
          </cell>
          <cell r="J430">
            <v>0.32244014643048202</v>
          </cell>
        </row>
        <row r="431">
          <cell r="A431" t="str">
            <v>RHSA-WHNGAHP</v>
          </cell>
          <cell r="B431" t="str">
            <v>VAR_cap</v>
          </cell>
          <cell r="C431" t="str">
            <v>-</v>
          </cell>
          <cell r="H431">
            <v>0.35302880036185591</v>
          </cell>
          <cell r="I431">
            <v>0.4651496988081199</v>
          </cell>
          <cell r="J431">
            <v>0.5379443706341881</v>
          </cell>
        </row>
        <row r="432">
          <cell r="A432" t="str">
            <v>SCOM-SHSTG-ELCHP</v>
          </cell>
          <cell r="B432" t="str">
            <v>VAR_fout</v>
          </cell>
          <cell r="C432" t="str">
            <v>SCOM-SHAELCH</v>
          </cell>
          <cell r="H432">
            <v>5.6565844517710217E-5</v>
          </cell>
          <cell r="I432">
            <v>5.3929139606303255E-5</v>
          </cell>
          <cell r="J432">
            <v>1.2483113260136262E-5</v>
          </cell>
        </row>
        <row r="433">
          <cell r="A433" t="str">
            <v>SCOM-SHSTG-ELCHP</v>
          </cell>
          <cell r="B433" t="str">
            <v>VAR_fin</v>
          </cell>
          <cell r="C433" t="str">
            <v>SCOM-SHAELCH</v>
          </cell>
          <cell r="H433">
            <v>5.7129899731523309E-5</v>
          </cell>
          <cell r="I433">
            <v>5.8473428796270491E-5</v>
          </cell>
          <cell r="J433">
            <v>1.2459167472540803E-5</v>
          </cell>
        </row>
        <row r="434">
          <cell r="A434" t="str">
            <v>SCOM-SHSTG-ELCHP</v>
          </cell>
          <cell r="B434" t="str">
            <v>VAR_ncap</v>
          </cell>
          <cell r="C434" t="str">
            <v>-</v>
          </cell>
          <cell r="H434">
            <v>0.121072549393951</v>
          </cell>
          <cell r="I434">
            <v>0.13596686832779201</v>
          </cell>
          <cell r="J434">
            <v>0.199262086580415</v>
          </cell>
        </row>
        <row r="435">
          <cell r="A435" t="str">
            <v>SCOM-SHSTG-ELCHP</v>
          </cell>
          <cell r="B435" t="str">
            <v>VAR_cap</v>
          </cell>
          <cell r="C435" t="str">
            <v>-</v>
          </cell>
          <cell r="H435">
            <v>0.21357420305543479</v>
          </cell>
          <cell r="I435">
            <v>0.28929025033010564</v>
          </cell>
          <cell r="J435">
            <v>0.34903184038801227</v>
          </cell>
        </row>
        <row r="436">
          <cell r="A436" t="str">
            <v>RHEM-SHLFOBR</v>
          </cell>
          <cell r="B436" t="str">
            <v>VAR_fout</v>
          </cell>
          <cell r="C436" t="str">
            <v>CO2_R</v>
          </cell>
          <cell r="H436">
            <v>614.33025285218298</v>
          </cell>
          <cell r="I436">
            <v>254.13270971758499</v>
          </cell>
          <cell r="J436">
            <v>43.919957395307897</v>
          </cell>
        </row>
        <row r="437">
          <cell r="A437" t="str">
            <v>RHEM-SHLFOBR</v>
          </cell>
          <cell r="B437" t="str">
            <v>VAR_fout</v>
          </cell>
          <cell r="C437" t="str">
            <v>RHEM-SHLFO</v>
          </cell>
          <cell r="H437">
            <v>7.260691154264002</v>
          </cell>
          <cell r="I437">
            <v>3.0035621864443405</v>
          </cell>
          <cell r="J437">
            <v>0.51928315125975488</v>
          </cell>
        </row>
        <row r="438">
          <cell r="A438" t="str">
            <v>RHEM-SHLFOBR</v>
          </cell>
          <cell r="B438" t="str">
            <v>VAR_fin</v>
          </cell>
          <cell r="C438" t="str">
            <v>RLFO</v>
          </cell>
          <cell r="H438">
            <v>8.3355529559319272</v>
          </cell>
          <cell r="I438">
            <v>3.4482050165208218</v>
          </cell>
          <cell r="J438">
            <v>0.59592886560797687</v>
          </cell>
        </row>
        <row r="439">
          <cell r="A439" t="str">
            <v>RHEM-SHLFOBR</v>
          </cell>
          <cell r="B439" t="str">
            <v>VAR_ncap</v>
          </cell>
          <cell r="C439" t="str">
            <v>-</v>
          </cell>
          <cell r="H439">
            <v>8.6012192902692505E-2</v>
          </cell>
          <cell r="I439">
            <v>0.12651643372281199</v>
          </cell>
          <cell r="J439">
            <v>3.3173758714949498E-7</v>
          </cell>
        </row>
        <row r="440">
          <cell r="A440" t="str">
            <v>RHEM-SHLFOBR</v>
          </cell>
          <cell r="B440" t="str">
            <v>VAR_cap</v>
          </cell>
          <cell r="C440" t="str">
            <v>-</v>
          </cell>
          <cell r="H440">
            <v>0.51451341075657342</v>
          </cell>
          <cell r="I440">
            <v>0.21252821183845633</v>
          </cell>
          <cell r="J440">
            <v>6.10883614402912E-2</v>
          </cell>
        </row>
        <row r="441">
          <cell r="A441" t="str">
            <v>RHES-SHNGAHP</v>
          </cell>
          <cell r="B441" t="str">
            <v>VAR_fout</v>
          </cell>
          <cell r="C441" t="str">
            <v>RHES-SHANGAH</v>
          </cell>
          <cell r="H441">
            <v>6.6232738633519981</v>
          </cell>
          <cell r="I441">
            <v>7.7841413017198189</v>
          </cell>
          <cell r="J441">
            <v>7.3421076251109438</v>
          </cell>
        </row>
        <row r="442">
          <cell r="A442" t="str">
            <v>RHES-SHNGAHP</v>
          </cell>
          <cell r="B442" t="str">
            <v>VAR_fout</v>
          </cell>
          <cell r="C442" t="str">
            <v>CO2_R</v>
          </cell>
          <cell r="H442">
            <v>193.68238573006499</v>
          </cell>
          <cell r="I442">
            <v>223.43860014392001</v>
          </cell>
          <cell r="J442">
            <v>198.17125802425301</v>
          </cell>
        </row>
        <row r="443">
          <cell r="A443" t="str">
            <v>RHES-SHNGAHP</v>
          </cell>
          <cell r="B443" t="str">
            <v>VAR_fin</v>
          </cell>
          <cell r="C443" t="str">
            <v>RHESELCHPC</v>
          </cell>
          <cell r="H443">
            <v>6.6232738633519981</v>
          </cell>
          <cell r="I443">
            <v>7.7841413017198189</v>
          </cell>
          <cell r="J443">
            <v>7.3421076251109438</v>
          </cell>
        </row>
        <row r="444">
          <cell r="A444" t="str">
            <v>RHES-SHNGAHP</v>
          </cell>
          <cell r="B444" t="str">
            <v>VAR_fin</v>
          </cell>
          <cell r="C444" t="str">
            <v>RNGA</v>
          </cell>
          <cell r="H444">
            <v>3.43408485336994</v>
          </cell>
          <cell r="I444">
            <v>3.9616773075163025</v>
          </cell>
          <cell r="J444">
            <v>3.5136747876640619</v>
          </cell>
        </row>
        <row r="445">
          <cell r="A445" t="str">
            <v>RHES-SHNGAHP</v>
          </cell>
          <cell r="B445" t="str">
            <v>VAR_ncap</v>
          </cell>
          <cell r="C445" t="str">
            <v>-</v>
          </cell>
          <cell r="H445">
            <v>9.0963763912327106E-2</v>
          </cell>
          <cell r="I445">
            <v>0.32800304998707502</v>
          </cell>
          <cell r="J445">
            <v>0.31765766497548598</v>
          </cell>
        </row>
        <row r="446">
          <cell r="A446" t="str">
            <v>RHES-SHNGAHP</v>
          </cell>
          <cell r="B446" t="str">
            <v>VAR_cap</v>
          </cell>
          <cell r="C446" t="str">
            <v>-</v>
          </cell>
          <cell r="H446">
            <v>0.53511666286666459</v>
          </cell>
          <cell r="I446">
            <v>0.62993822060265259</v>
          </cell>
          <cell r="J446">
            <v>0.59417742159840248</v>
          </cell>
        </row>
        <row r="447">
          <cell r="A447" t="str">
            <v>D-RHES_LTH_CHPWOD</v>
          </cell>
          <cell r="B447" t="str">
            <v>VAR_fout</v>
          </cell>
          <cell r="C447" t="str">
            <v>RHES_LTH_CHPWOD_ON</v>
          </cell>
          <cell r="I447">
            <v>2.2870510064483427E-3</v>
          </cell>
        </row>
        <row r="448">
          <cell r="A448" t="str">
            <v>D-RHES_LTH_CHPWOD</v>
          </cell>
          <cell r="B448" t="str">
            <v>VAR_fout</v>
          </cell>
          <cell r="C448" t="str">
            <v>RHSA_LTH</v>
          </cell>
          <cell r="H448">
            <v>4.3767599552842805E-3</v>
          </cell>
          <cell r="I448">
            <v>2.7239046777724121E-3</v>
          </cell>
          <cell r="J448">
            <v>1.7348869503367066E-3</v>
          </cell>
        </row>
        <row r="449">
          <cell r="A449" t="str">
            <v>D-RHES_LTH_CHPWOD</v>
          </cell>
          <cell r="B449" t="str">
            <v>VAR_fout</v>
          </cell>
          <cell r="C449" t="str">
            <v>LTH</v>
          </cell>
          <cell r="H449">
            <v>4.0895082000976753E-6</v>
          </cell>
          <cell r="I449">
            <v>6.5110439225856469E-6</v>
          </cell>
          <cell r="J449">
            <v>2.9971291507063206E-6</v>
          </cell>
        </row>
        <row r="450">
          <cell r="A450" t="str">
            <v>D-RHES_LTH_CHPWOD</v>
          </cell>
          <cell r="B450" t="str">
            <v>VAR_fin</v>
          </cell>
          <cell r="C450" t="str">
            <v>RHES_LTH_CHPWOD</v>
          </cell>
          <cell r="H450">
            <v>4.3814112316719099E-3</v>
          </cell>
          <cell r="I450">
            <v>5.0179774735777437E-3</v>
          </cell>
          <cell r="J450">
            <v>1.738706410022161E-3</v>
          </cell>
        </row>
        <row r="451">
          <cell r="A451" t="str">
            <v>ITOT-SWHSOLBR</v>
          </cell>
          <cell r="B451" t="str">
            <v>VAR_fout</v>
          </cell>
          <cell r="C451" t="str">
            <v>ITOT-SWHASOL</v>
          </cell>
          <cell r="H451">
            <v>1.4396318767165821</v>
          </cell>
          <cell r="I451">
            <v>1.4015561220606163</v>
          </cell>
          <cell r="J451">
            <v>0.90942379760176173</v>
          </cell>
        </row>
        <row r="452">
          <cell r="A452" t="str">
            <v>ITOT-SWHSOLBR</v>
          </cell>
          <cell r="B452" t="str">
            <v>VAR_fin</v>
          </cell>
          <cell r="C452" t="str">
            <v>SOL</v>
          </cell>
          <cell r="H452">
            <v>1.4396318767165821</v>
          </cell>
          <cell r="I452">
            <v>1.4015561220606163</v>
          </cell>
          <cell r="J452">
            <v>0.90942379760176173</v>
          </cell>
        </row>
        <row r="453">
          <cell r="A453" t="str">
            <v>ITOT-SWHSOLBR</v>
          </cell>
          <cell r="B453" t="str">
            <v>VAR_ncap</v>
          </cell>
          <cell r="C453" t="str">
            <v>-</v>
          </cell>
          <cell r="H453">
            <v>0.106362781790795</v>
          </cell>
          <cell r="I453">
            <v>0.106652414557172</v>
          </cell>
          <cell r="J453">
            <v>9.0620584439878998E-2</v>
          </cell>
        </row>
        <row r="454">
          <cell r="A454" t="str">
            <v>ITOT-SWHSOLBR</v>
          </cell>
          <cell r="B454" t="str">
            <v>VAR_cap</v>
          </cell>
          <cell r="C454" t="str">
            <v>-</v>
          </cell>
          <cell r="H454">
            <v>0.21301927922747357</v>
          </cell>
          <cell r="I454">
            <v>0.21301584308011801</v>
          </cell>
          <cell r="J454">
            <v>0.213012704885821</v>
          </cell>
        </row>
        <row r="455">
          <cell r="A455" t="str">
            <v>SCOM-SHNGAHP</v>
          </cell>
          <cell r="B455" t="str">
            <v>VAR_fout</v>
          </cell>
          <cell r="C455" t="str">
            <v>SCOM-SHANGAH</v>
          </cell>
          <cell r="H455">
            <v>8.7284521292246176</v>
          </cell>
          <cell r="I455">
            <v>11.039955353712216</v>
          </cell>
          <cell r="J455">
            <v>11.568503099414297</v>
          </cell>
        </row>
        <row r="456">
          <cell r="A456" t="str">
            <v>SCOM-SHNGAHP</v>
          </cell>
          <cell r="B456" t="str">
            <v>VAR_fout</v>
          </cell>
          <cell r="C456" t="str">
            <v>CO2_S</v>
          </cell>
          <cell r="H456">
            <v>238.69789938793599</v>
          </cell>
          <cell r="I456">
            <v>294.26734895007201</v>
          </cell>
          <cell r="J456">
            <v>282.74305005055498</v>
          </cell>
        </row>
        <row r="457">
          <cell r="A457" t="str">
            <v>SCOM-SHNGAHP</v>
          </cell>
          <cell r="B457" t="str">
            <v>VAR_fin</v>
          </cell>
          <cell r="C457" t="str">
            <v>SCOMELCHPC</v>
          </cell>
          <cell r="H457">
            <v>8.7284521292246176</v>
          </cell>
          <cell r="I457">
            <v>11.039955353712216</v>
          </cell>
          <cell r="J457">
            <v>11.568503099414297</v>
          </cell>
        </row>
        <row r="458">
          <cell r="A458" t="str">
            <v>SCOM-SHNGAHP</v>
          </cell>
          <cell r="B458" t="str">
            <v>VAR_fin</v>
          </cell>
          <cell r="C458" t="str">
            <v>SNGA</v>
          </cell>
          <cell r="H458">
            <v>4.2322322586513428</v>
          </cell>
          <cell r="I458">
            <v>5.2175061870580111</v>
          </cell>
          <cell r="J458">
            <v>5.0131746462864255</v>
          </cell>
        </row>
        <row r="459">
          <cell r="A459" t="str">
            <v>SCOM-SHNGAHP</v>
          </cell>
          <cell r="B459" t="str">
            <v>VAR_ncap</v>
          </cell>
          <cell r="C459" t="str">
            <v>-</v>
          </cell>
          <cell r="H459">
            <v>0.16297313038473801</v>
          </cell>
          <cell r="I459">
            <v>0.43734678479799399</v>
          </cell>
          <cell r="J459">
            <v>0.51911842413846498</v>
          </cell>
        </row>
        <row r="460">
          <cell r="A460" t="str">
            <v>SCOM-SHNGAHP</v>
          </cell>
          <cell r="B460" t="str">
            <v>VAR_cap</v>
          </cell>
          <cell r="C460" t="str">
            <v>-</v>
          </cell>
          <cell r="H460">
            <v>0.67483717394221299</v>
          </cell>
          <cell r="I460">
            <v>0.85714166931836544</v>
          </cell>
          <cell r="J460">
            <v>0.90545192048667167</v>
          </cell>
        </row>
        <row r="461">
          <cell r="A461" t="str">
            <v>RHNS-SHNGABR</v>
          </cell>
          <cell r="B461" t="str">
            <v>VAR_fout</v>
          </cell>
          <cell r="C461" t="str">
            <v>CO2_R</v>
          </cell>
          <cell r="H461">
            <v>5.2952474602436199</v>
          </cell>
          <cell r="I461">
            <v>4.7304568076359903</v>
          </cell>
          <cell r="J461">
            <v>2.2220413266408299</v>
          </cell>
        </row>
        <row r="462">
          <cell r="A462" t="str">
            <v>RHNS-SHNGABR</v>
          </cell>
          <cell r="B462" t="str">
            <v>VAR_fout</v>
          </cell>
          <cell r="C462" t="str">
            <v>RHNS-SHNGA</v>
          </cell>
          <cell r="H462">
            <v>9.0093684243825564E-2</v>
          </cell>
          <cell r="I462">
            <v>8.0484299394122119E-2</v>
          </cell>
          <cell r="J462">
            <v>3.7805955465186086E-2</v>
          </cell>
        </row>
        <row r="463">
          <cell r="A463" t="str">
            <v>RHNS-SHNGABR</v>
          </cell>
          <cell r="B463" t="str">
            <v>VAR_fin</v>
          </cell>
          <cell r="C463" t="str">
            <v>RNGA</v>
          </cell>
          <cell r="H463">
            <v>9.3887366316376231E-2</v>
          </cell>
          <cell r="I463">
            <v>8.3873347653120406E-2</v>
          </cell>
          <cell r="J463">
            <v>3.9397895862426022E-2</v>
          </cell>
        </row>
        <row r="464">
          <cell r="A464" t="str">
            <v>RHNS-SHNGABR</v>
          </cell>
          <cell r="B464" t="str">
            <v>VAR_ncap</v>
          </cell>
          <cell r="C464" t="str">
            <v>-</v>
          </cell>
          <cell r="H464">
            <v>3.08298402802289E-3</v>
          </cell>
          <cell r="I464">
            <v>2.8949494952361901E-3</v>
          </cell>
          <cell r="J464">
            <v>2.4773355907825201E-6</v>
          </cell>
        </row>
        <row r="465">
          <cell r="A465" t="str">
            <v>RHNS-SHNGABR</v>
          </cell>
          <cell r="B465" t="str">
            <v>VAR_cap</v>
          </cell>
          <cell r="C465" t="str">
            <v>-</v>
          </cell>
          <cell r="H465">
            <v>6.9318986580809349E-3</v>
          </cell>
          <cell r="I465">
            <v>5.9780084900990342E-3</v>
          </cell>
          <cell r="J465">
            <v>3.4052941460747605E-3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RHSA_LTH</v>
          </cell>
          <cell r="H466">
            <v>9.6257765888683247E-3</v>
          </cell>
          <cell r="I466">
            <v>1.5581143317328395E-3</v>
          </cell>
          <cell r="J466">
            <v>3.7815480190645835E-5</v>
          </cell>
        </row>
        <row r="467">
          <cell r="A467" t="str">
            <v>D-RHNM_LTH_CHPNGA</v>
          </cell>
          <cell r="B467" t="str">
            <v>VAR_fout</v>
          </cell>
          <cell r="C467" t="str">
            <v>LTH</v>
          </cell>
          <cell r="H467">
            <v>1.1655377850484689E-5</v>
          </cell>
          <cell r="I467">
            <v>5.0341309128624541E-6</v>
          </cell>
          <cell r="J467">
            <v>2.225564774179139E-5</v>
          </cell>
        </row>
        <row r="468">
          <cell r="A468" t="str">
            <v>D-RHNM_LTH_CHPNGA</v>
          </cell>
          <cell r="B468" t="str">
            <v>VAR_fout</v>
          </cell>
          <cell r="C468" t="str">
            <v>RHNM_LTH_CHPNGA_ON</v>
          </cell>
          <cell r="H468">
            <v>2.2664257604583667E-3</v>
          </cell>
          <cell r="I468">
            <v>1.8979261088404411E-3</v>
          </cell>
          <cell r="J468">
            <v>1.5176300310600288E-5</v>
          </cell>
        </row>
        <row r="469">
          <cell r="A469" t="str">
            <v>D-RHNM_LTH_CHPNGA</v>
          </cell>
          <cell r="B469" t="str">
            <v>VAR_fin</v>
          </cell>
          <cell r="C469" t="str">
            <v>RHNM_LTH_CHPNGA</v>
          </cell>
          <cell r="H469">
            <v>1.190385772717718E-2</v>
          </cell>
          <cell r="I469">
            <v>3.4611333369964194E-3</v>
          </cell>
          <cell r="J469">
            <v>7.5247428243037622E-5</v>
          </cell>
        </row>
        <row r="470">
          <cell r="A470" t="str">
            <v>RHNM-SHELCHP</v>
          </cell>
          <cell r="B470" t="str">
            <v>VAR_fout</v>
          </cell>
          <cell r="C470" t="str">
            <v>RHNM-SHAELCH</v>
          </cell>
          <cell r="H470">
            <v>2.4908358645621056</v>
          </cell>
          <cell r="I470">
            <v>2.9338069295259808</v>
          </cell>
          <cell r="J470">
            <v>3.3847778197999316</v>
          </cell>
        </row>
        <row r="471">
          <cell r="A471" t="str">
            <v>RHNM-SHELCHP</v>
          </cell>
          <cell r="B471" t="str">
            <v>VAR_fin</v>
          </cell>
          <cell r="C471" t="str">
            <v>RHNM_ELC</v>
          </cell>
          <cell r="H471">
            <v>0.659309436568698</v>
          </cell>
          <cell r="I471">
            <v>0.75498617778455224</v>
          </cell>
          <cell r="J471">
            <v>0.82513155567921082</v>
          </cell>
        </row>
        <row r="472">
          <cell r="A472" t="str">
            <v>RHNM-SHELCHP</v>
          </cell>
          <cell r="B472" t="str">
            <v>VAR_fin</v>
          </cell>
          <cell r="C472" t="str">
            <v>RHNMELCHPC</v>
          </cell>
          <cell r="H472">
            <v>2.4908358645621056</v>
          </cell>
          <cell r="I472">
            <v>2.9338069295259808</v>
          </cell>
          <cell r="J472">
            <v>3.3847778197999316</v>
          </cell>
        </row>
        <row r="473">
          <cell r="A473" t="str">
            <v>RHNM-SHELCHP</v>
          </cell>
          <cell r="B473" t="str">
            <v>VAR_ncap</v>
          </cell>
          <cell r="C473" t="str">
            <v>-</v>
          </cell>
          <cell r="H473">
            <v>8.1515228179382296E-2</v>
          </cell>
          <cell r="I473">
            <v>0.10715176066167099</v>
          </cell>
          <cell r="J473">
            <v>0.15058979455702301</v>
          </cell>
        </row>
        <row r="474">
          <cell r="A474" t="str">
            <v>RHNM-SHELCHP</v>
          </cell>
          <cell r="B474" t="str">
            <v>VAR_cap</v>
          </cell>
          <cell r="C474" t="str">
            <v>-</v>
          </cell>
          <cell r="H474">
            <v>0.19350912193967021</v>
          </cell>
          <cell r="I474">
            <v>0.22822410805812499</v>
          </cell>
          <cell r="J474">
            <v>0.26283351376171693</v>
          </cell>
        </row>
        <row r="475">
          <cell r="A475" t="str">
            <v>D-IH2R</v>
          </cell>
          <cell r="B475" t="str">
            <v>VAR_fout</v>
          </cell>
          <cell r="C475" t="str">
            <v>IH2</v>
          </cell>
          <cell r="H475">
            <v>6.9600928503734476</v>
          </cell>
          <cell r="I475">
            <v>8.0678002794429133</v>
          </cell>
          <cell r="J475">
            <v>7.6476803873506647</v>
          </cell>
        </row>
        <row r="476">
          <cell r="A476" t="str">
            <v>D-IH2R</v>
          </cell>
          <cell r="B476" t="str">
            <v>VAR_fin</v>
          </cell>
          <cell r="C476" t="str">
            <v>H2</v>
          </cell>
          <cell r="H476">
            <v>6.9600928503734476</v>
          </cell>
          <cell r="I476">
            <v>8.0678002794429133</v>
          </cell>
          <cell r="J476">
            <v>7.6476803873506647</v>
          </cell>
        </row>
        <row r="477">
          <cell r="A477" t="str">
            <v>D-IH2R</v>
          </cell>
          <cell r="B477" t="str">
            <v>VAR_ncap</v>
          </cell>
          <cell r="C477" t="str">
            <v>-</v>
          </cell>
          <cell r="H477">
            <v>0.2454039914782</v>
          </cell>
          <cell r="I477">
            <v>0.30684095350083901</v>
          </cell>
          <cell r="J477">
            <v>0.18998084257922901</v>
          </cell>
        </row>
        <row r="478">
          <cell r="A478" t="str">
            <v>D-IH2R</v>
          </cell>
          <cell r="B478" t="str">
            <v>VAR_cap</v>
          </cell>
          <cell r="C478" t="str">
            <v>-</v>
          </cell>
          <cell r="H478">
            <v>0.24540478672270799</v>
          </cell>
          <cell r="I478">
            <v>0.35030738044740101</v>
          </cell>
          <cell r="J478">
            <v>0.29508038852455998</v>
          </cell>
        </row>
        <row r="479">
          <cell r="A479" t="str">
            <v>RHEM-SHSTG-ELC</v>
          </cell>
          <cell r="B479" t="str">
            <v>VAR_fout</v>
          </cell>
          <cell r="C479" t="str">
            <v>RHEM-SHAELCB</v>
          </cell>
          <cell r="H479">
            <v>2.2129818155698446E-4</v>
          </cell>
          <cell r="I479">
            <v>4.5543156518507025E-4</v>
          </cell>
          <cell r="J479">
            <v>6.8308110577334331E-4</v>
          </cell>
        </row>
        <row r="480">
          <cell r="A480" t="str">
            <v>RHEM-SHSTG-ELC</v>
          </cell>
          <cell r="B480" t="str">
            <v>VAR_fout</v>
          </cell>
          <cell r="C480" t="str">
            <v>AUX_RHEM-SHSTG-ELC_OUT</v>
          </cell>
          <cell r="H480">
            <v>2.2151947973854153E-4</v>
          </cell>
          <cell r="I480">
            <v>4.5588699675025532E-4</v>
          </cell>
          <cell r="J480">
            <v>6.8376418687911679E-4</v>
          </cell>
        </row>
        <row r="481">
          <cell r="A481" t="str">
            <v>RHEM-SHSTG-ELC</v>
          </cell>
          <cell r="B481" t="str">
            <v>VAR_fin</v>
          </cell>
          <cell r="C481" t="str">
            <v>RHEM-SHAELCB</v>
          </cell>
          <cell r="H481">
            <v>2.2303183381469489E-4</v>
          </cell>
          <cell r="I481">
            <v>4.5778037033133306E-4</v>
          </cell>
          <cell r="J481">
            <v>6.8469950965113974E-4</v>
          </cell>
        </row>
        <row r="482">
          <cell r="A482" t="str">
            <v>RHEM-SHSTG-ELC</v>
          </cell>
          <cell r="B482" t="str">
            <v>VAR_ncap</v>
          </cell>
          <cell r="C482" t="str">
            <v>-</v>
          </cell>
          <cell r="H482">
            <v>6.7826812264395404E-5</v>
          </cell>
          <cell r="I482">
            <v>6.6745953647022799E-5</v>
          </cell>
          <cell r="J482">
            <v>8.3111211274950101E-5</v>
          </cell>
        </row>
        <row r="483">
          <cell r="A483" t="str">
            <v>RHEM-SHSTG-ELC</v>
          </cell>
          <cell r="B483" t="str">
            <v>VAR_cap</v>
          </cell>
          <cell r="C483" t="str">
            <v>-</v>
          </cell>
          <cell r="H483">
            <v>1.1462946877269925E-4</v>
          </cell>
          <cell r="I483">
            <v>8.7885543107197903E-5</v>
          </cell>
          <cell r="J483">
            <v>1.1326309968387081E-4</v>
          </cell>
        </row>
        <row r="484">
          <cell r="A484" t="str">
            <v>RHNM-SHLTHCHPWOD</v>
          </cell>
          <cell r="B484" t="str">
            <v>VAR_ncap</v>
          </cell>
          <cell r="C484" t="str">
            <v>-</v>
          </cell>
          <cell r="H484">
            <v>2.0125309314091299E-2</v>
          </cell>
          <cell r="I484">
            <v>1.8832308248950502E-2</v>
          </cell>
          <cell r="J484">
            <v>2.9320759166626899E-3</v>
          </cell>
        </row>
        <row r="485">
          <cell r="A485" t="str">
            <v>RHNM-SHLTHCHPWOD</v>
          </cell>
          <cell r="B485" t="str">
            <v>VAR_cap</v>
          </cell>
          <cell r="C485" t="str">
            <v>-</v>
          </cell>
          <cell r="H485">
            <v>2.0400988472825555E-2</v>
          </cell>
          <cell r="I485">
            <v>3.087712804823433E-2</v>
          </cell>
          <cell r="J485">
            <v>7.0375034522575999E-3</v>
          </cell>
        </row>
        <row r="486">
          <cell r="A486" t="str">
            <v>ITOT-SWHDEM</v>
          </cell>
          <cell r="B486" t="str">
            <v>VAR_fout</v>
          </cell>
          <cell r="C486" t="str">
            <v>ITOT-SWHD</v>
          </cell>
          <cell r="H486">
            <v>77.592529140269036</v>
          </cell>
          <cell r="I486">
            <v>78.319367166299116</v>
          </cell>
          <cell r="J486">
            <v>79.375890963431999</v>
          </cell>
        </row>
        <row r="487">
          <cell r="A487" t="str">
            <v>ITOT-SWHDEM</v>
          </cell>
          <cell r="B487" t="str">
            <v>VAR_fin</v>
          </cell>
          <cell r="C487" t="str">
            <v>ITOT-SWHNGAH</v>
          </cell>
          <cell r="H487">
            <v>5.2027256159606645E-3</v>
          </cell>
          <cell r="I487">
            <v>2.7186873009263698E-3</v>
          </cell>
          <cell r="J487">
            <v>1.6342507402430063E-3</v>
          </cell>
        </row>
        <row r="488">
          <cell r="A488" t="str">
            <v>ITOT-SWHDEM</v>
          </cell>
          <cell r="B488" t="str">
            <v>VAR_fin</v>
          </cell>
          <cell r="C488" t="str">
            <v>ITOT-SWH</v>
          </cell>
          <cell r="H488">
            <v>51.684270686042822</v>
          </cell>
          <cell r="I488">
            <v>42.643437789506144</v>
          </cell>
          <cell r="J488">
            <v>40.52343861621042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ITOT-SWHELCH</v>
          </cell>
          <cell r="H489">
            <v>8.4138763400335677</v>
          </cell>
          <cell r="I489">
            <v>9.5692447035771959</v>
          </cell>
          <cell r="J489">
            <v>13.152984189478627</v>
          </cell>
        </row>
        <row r="490">
          <cell r="A490" t="str">
            <v>ITOT-SWHDEM</v>
          </cell>
          <cell r="B490" t="str">
            <v>VAR_fin</v>
          </cell>
          <cell r="C490" t="str">
            <v>ITOT-SWHC</v>
          </cell>
          <cell r="H490">
            <v>3.7319234735572033</v>
          </cell>
          <cell r="I490">
            <v>12.517704697005069</v>
          </cell>
          <cell r="J490">
            <v>12.589979220244945</v>
          </cell>
        </row>
        <row r="491">
          <cell r="A491" t="str">
            <v>ITOT-SWHDEM</v>
          </cell>
          <cell r="B491" t="str">
            <v>VAR_fin</v>
          </cell>
          <cell r="C491" t="str">
            <v>ITOT-SWHELC</v>
          </cell>
          <cell r="H491">
            <v>12.318230657553917</v>
          </cell>
          <cell r="I491">
            <v>12.199529454503145</v>
          </cell>
          <cell r="J491">
            <v>12.199123215497675</v>
          </cell>
        </row>
        <row r="492">
          <cell r="A492" t="str">
            <v>ITOT-SWHDEM</v>
          </cell>
          <cell r="B492" t="str">
            <v>VAR_fin</v>
          </cell>
          <cell r="C492" t="str">
            <v>ITOT-SWHSOL</v>
          </cell>
          <cell r="H492">
            <v>1.4394625172504931</v>
          </cell>
          <cell r="I492">
            <v>1.3870966715094137</v>
          </cell>
          <cell r="J492">
            <v>0.90918552277819742</v>
          </cell>
        </row>
        <row r="493">
          <cell r="A493" t="str">
            <v>D-RHNS_NKEV_GAS_ELC_CHP</v>
          </cell>
          <cell r="B493" t="str">
            <v>VAR_fout</v>
          </cell>
          <cell r="C493" t="str">
            <v>RHNS_ELC</v>
          </cell>
          <cell r="H493">
            <v>1.0739654161826873E-3</v>
          </cell>
          <cell r="I493">
            <v>5.1537014330862605E-4</v>
          </cell>
        </row>
        <row r="494">
          <cell r="A494" t="str">
            <v>D-RHNS_NKEV_GAS_ELC_CHP</v>
          </cell>
          <cell r="B494" t="str">
            <v>VAR_fout</v>
          </cell>
          <cell r="C494" t="str">
            <v>ELC5</v>
          </cell>
          <cell r="H494">
            <v>7.0368032771128003E-4</v>
          </cell>
          <cell r="I494">
            <v>4.1072661555853945E-4</v>
          </cell>
        </row>
        <row r="495">
          <cell r="A495" t="str">
            <v>D-RHNS_NKEV_GAS_ELC_CHP</v>
          </cell>
          <cell r="B495" t="str">
            <v>VAR_fin</v>
          </cell>
          <cell r="C495" t="str">
            <v>RHNS_NKEV_GAS_ELC_CHP</v>
          </cell>
          <cell r="H495">
            <v>1.7372910414070388E-3</v>
          </cell>
          <cell r="I495">
            <v>8.9588025128597591E-4</v>
          </cell>
        </row>
        <row r="496">
          <cell r="A496" t="str">
            <v>RHNM-SHSTG-NGAHP</v>
          </cell>
          <cell r="B496" t="str">
            <v>VAR_fout</v>
          </cell>
          <cell r="C496" t="str">
            <v>RHNM-SHANGAH</v>
          </cell>
          <cell r="H496">
            <v>7.282654743162581E-2</v>
          </cell>
          <cell r="I496">
            <v>0.1207480458787388</v>
          </cell>
          <cell r="J496">
            <v>0.1199770523570991</v>
          </cell>
        </row>
        <row r="497">
          <cell r="A497" t="str">
            <v>RHNM-SHSTG-NGAHP</v>
          </cell>
          <cell r="B497" t="str">
            <v>VAR_fout</v>
          </cell>
          <cell r="C497" t="str">
            <v>AUX_RHNM-SHSTG-NGAHP_OUT</v>
          </cell>
          <cell r="H497">
            <v>7.2899373979057436E-2</v>
          </cell>
          <cell r="I497">
            <v>0.12086879392461752</v>
          </cell>
          <cell r="J497">
            <v>0.12009702940945621</v>
          </cell>
        </row>
        <row r="498">
          <cell r="A498" t="str">
            <v>RHNM-SHSTG-NGAHP</v>
          </cell>
          <cell r="B498" t="str">
            <v>VAR_fin</v>
          </cell>
          <cell r="C498" t="str">
            <v>RHNM-SHANGAH</v>
          </cell>
          <cell r="H498">
            <v>7.2871606425313276E-2</v>
          </cell>
          <cell r="I498">
            <v>0.12078705542447787</v>
          </cell>
          <cell r="J498">
            <v>0.12003609083594224</v>
          </cell>
        </row>
        <row r="499">
          <cell r="A499" t="str">
            <v>RHNM-SHSTG-NGAHP</v>
          </cell>
          <cell r="B499" t="str">
            <v>VAR_ncap</v>
          </cell>
          <cell r="C499" t="str">
            <v>-</v>
          </cell>
          <cell r="H499">
            <v>1.0881140138685101E-2</v>
          </cell>
          <cell r="I499">
            <v>1.15831968341116E-2</v>
          </cell>
          <cell r="J499">
            <v>1.87865924958108E-2</v>
          </cell>
        </row>
        <row r="500">
          <cell r="A500" t="str">
            <v>RHNM-SHSTG-NGAHP</v>
          </cell>
          <cell r="B500" t="str">
            <v>VAR_cap</v>
          </cell>
          <cell r="C500" t="str">
            <v>-</v>
          </cell>
          <cell r="H500">
            <v>2.3683590572561107E-2</v>
          </cell>
          <cell r="I500">
            <v>2.8632961032836565E-2</v>
          </cell>
          <cell r="J500">
            <v>3.1684484481347988E-2</v>
          </cell>
        </row>
        <row r="501">
          <cell r="A501" t="str">
            <v>D-IBIO</v>
          </cell>
          <cell r="B501" t="str">
            <v>VAR_fout</v>
          </cell>
          <cell r="C501" t="str">
            <v>IBIO</v>
          </cell>
          <cell r="H501">
            <v>4.8681619302230734</v>
          </cell>
          <cell r="I501">
            <v>4.8681669800652738</v>
          </cell>
          <cell r="J501">
            <v>5.7920289942451166</v>
          </cell>
        </row>
        <row r="502">
          <cell r="A502" t="str">
            <v>D-IBIO</v>
          </cell>
          <cell r="B502" t="str">
            <v>VAR_fin</v>
          </cell>
          <cell r="C502" t="str">
            <v>BIO</v>
          </cell>
          <cell r="H502">
            <v>4.8681619302230734</v>
          </cell>
          <cell r="I502">
            <v>4.8681669800652738</v>
          </cell>
          <cell r="J502">
            <v>5.7920289942451166</v>
          </cell>
        </row>
        <row r="503">
          <cell r="A503" t="str">
            <v>D-RHES_KEV_WOD_ELC_CHP</v>
          </cell>
          <cell r="B503" t="str">
            <v>VAR_fout</v>
          </cell>
          <cell r="C503" t="str">
            <v>RHES_ELC</v>
          </cell>
          <cell r="H503">
            <v>1.1648119161870487E-3</v>
          </cell>
          <cell r="I503">
            <v>1.3406919087995345E-3</v>
          </cell>
          <cell r="J503">
            <v>4.8731404707943776E-4</v>
          </cell>
        </row>
        <row r="504">
          <cell r="A504" t="str">
            <v>D-RHES_KEV_WOD_ELC_CHP</v>
          </cell>
          <cell r="B504" t="str">
            <v>VAR_fout</v>
          </cell>
          <cell r="C504" t="str">
            <v>ELC5</v>
          </cell>
          <cell r="H504">
            <v>7.9173109835757236E-4</v>
          </cell>
          <cell r="I504">
            <v>7.5467983087040261E-4</v>
          </cell>
          <cell r="J504">
            <v>3.3832704429830144E-4</v>
          </cell>
        </row>
        <row r="505">
          <cell r="A505" t="str">
            <v>D-RHES_KEV_WOD_ELC_CHP</v>
          </cell>
          <cell r="B505" t="str">
            <v>VAR_fin</v>
          </cell>
          <cell r="C505" t="str">
            <v>RHES_KEV_WOD_ELC_CHP</v>
          </cell>
          <cell r="H505">
            <v>1.9243106653179184E-3</v>
          </cell>
          <cell r="I505">
            <v>2.0634338813872934E-3</v>
          </cell>
          <cell r="J505">
            <v>7.9653610762878753E-4</v>
          </cell>
        </row>
        <row r="506">
          <cell r="A506" t="str">
            <v>RHNS-SHLFOBR</v>
          </cell>
          <cell r="B506" t="str">
            <v>VAR_fout</v>
          </cell>
          <cell r="C506" t="str">
            <v>CO2_R</v>
          </cell>
          <cell r="H506">
            <v>4.3791858556296903</v>
          </cell>
          <cell r="I506">
            <v>4.0044019021778201</v>
          </cell>
        </row>
        <row r="507">
          <cell r="A507" t="str">
            <v>RHNS-SHLFOBR</v>
          </cell>
          <cell r="B507" t="str">
            <v>VAR_fout</v>
          </cell>
          <cell r="C507" t="str">
            <v>RHNS-SHLFO</v>
          </cell>
          <cell r="H507">
            <v>5.6411702327481314E-2</v>
          </cell>
          <cell r="I507">
            <v>5.1583818443068342E-2</v>
          </cell>
        </row>
        <row r="508">
          <cell r="A508" t="str">
            <v>RHNS-SHLFOBR</v>
          </cell>
          <cell r="B508" t="str">
            <v>VAR_fin</v>
          </cell>
          <cell r="C508" t="str">
            <v>RLFO</v>
          </cell>
          <cell r="H508">
            <v>5.9419075381678281E-2</v>
          </cell>
          <cell r="I508">
            <v>5.4333811427107415E-2</v>
          </cell>
        </row>
        <row r="509">
          <cell r="A509" t="str">
            <v>RHNS-SHLFOBR</v>
          </cell>
          <cell r="B509" t="str">
            <v>VAR_ncap</v>
          </cell>
          <cell r="C509" t="str">
            <v>-</v>
          </cell>
        </row>
        <row r="510">
          <cell r="A510" t="str">
            <v>RHNS-SHLFOBR</v>
          </cell>
          <cell r="B510" t="str">
            <v>VAR_cap</v>
          </cell>
          <cell r="C510" t="str">
            <v>-</v>
          </cell>
          <cell r="H510">
            <v>2.1246290194086487E-2</v>
          </cell>
          <cell r="I510">
            <v>3.761979914689891E-3</v>
          </cell>
        </row>
        <row r="511">
          <cell r="A511" t="str">
            <v>D-SNGA</v>
          </cell>
          <cell r="B511" t="str">
            <v>VAR_fout</v>
          </cell>
          <cell r="C511" t="str">
            <v>CO2</v>
          </cell>
          <cell r="H511">
            <v>843.04247911649998</v>
          </cell>
          <cell r="I511">
            <v>491.49124083968701</v>
          </cell>
          <cell r="J511">
            <v>236.20218016880099</v>
          </cell>
        </row>
        <row r="512">
          <cell r="A512" t="str">
            <v>D-SNGA</v>
          </cell>
          <cell r="B512" t="str">
            <v>VAR_fout</v>
          </cell>
          <cell r="C512" t="str">
            <v>SNGA</v>
          </cell>
          <cell r="H512">
            <v>15.513560336832759</v>
          </cell>
          <cell r="I512">
            <v>11.18816554199255</v>
          </cell>
          <cell r="J512">
            <v>7.2683559338857293</v>
          </cell>
        </row>
        <row r="513">
          <cell r="A513" t="str">
            <v>D-SNGA</v>
          </cell>
          <cell r="B513" t="str">
            <v>VAR_fout</v>
          </cell>
          <cell r="C513" t="str">
            <v>RSH2</v>
          </cell>
          <cell r="H513">
            <v>3.4394042249635535E-3</v>
          </cell>
          <cell r="I513">
            <v>4.9844094673713027E-3</v>
          </cell>
          <cell r="J513">
            <v>4.2154502242806226E-3</v>
          </cell>
        </row>
        <row r="514">
          <cell r="A514" t="str">
            <v>D-SNGA</v>
          </cell>
          <cell r="B514" t="str">
            <v>VAR_fin</v>
          </cell>
          <cell r="C514" t="str">
            <v>NGA</v>
          </cell>
          <cell r="H514">
            <v>14.947561686462773</v>
          </cell>
          <cell r="I514">
            <v>8.7143837028313254</v>
          </cell>
          <cell r="J514">
            <v>4.1879819178865469</v>
          </cell>
        </row>
        <row r="515">
          <cell r="A515" t="str">
            <v>D-SNGA</v>
          </cell>
          <cell r="B515" t="str">
            <v>VAR_fin</v>
          </cell>
          <cell r="C515" t="str">
            <v>BNGA</v>
          </cell>
          <cell r="H515">
            <v>0.61559525624357336</v>
          </cell>
          <cell r="I515">
            <v>2.5095649141933714</v>
          </cell>
          <cell r="J515">
            <v>3.1038795191192907</v>
          </cell>
        </row>
        <row r="516">
          <cell r="A516" t="str">
            <v>D-SNGA</v>
          </cell>
          <cell r="B516" t="str">
            <v>VAR_fin</v>
          </cell>
          <cell r="C516" t="str">
            <v>H2</v>
          </cell>
          <cell r="H516">
            <v>3.4347220086078283E-3</v>
          </cell>
          <cell r="I516">
            <v>4.9725298215333464E-3</v>
          </cell>
          <cell r="J516">
            <v>4.2052100184066599E-3</v>
          </cell>
        </row>
        <row r="517">
          <cell r="A517" t="str">
            <v>D-SNGA</v>
          </cell>
          <cell r="B517" t="str">
            <v>VAR_ncap</v>
          </cell>
          <cell r="C517" t="str">
            <v>-</v>
          </cell>
          <cell r="H517">
            <v>1.0160379645323699E-6</v>
          </cell>
          <cell r="I517">
            <v>9.9716470609830393E-7</v>
          </cell>
          <cell r="J517">
            <v>2.2656515690073702E-6</v>
          </cell>
        </row>
        <row r="518">
          <cell r="A518" t="str">
            <v>D-SNGA</v>
          </cell>
          <cell r="B518" t="str">
            <v>VAR_cap</v>
          </cell>
          <cell r="C518" t="str">
            <v>-</v>
          </cell>
          <cell r="H518">
            <v>2.2350568268643229</v>
          </cell>
          <cell r="I518">
            <v>2.2350578240290293</v>
          </cell>
          <cell r="J518">
            <v>1.1208983905443182</v>
          </cell>
        </row>
        <row r="519">
          <cell r="A519" t="str">
            <v>D-IPLT</v>
          </cell>
          <cell r="B519" t="str">
            <v>VAR_fout</v>
          </cell>
          <cell r="C519" t="str">
            <v>IPLT</v>
          </cell>
          <cell r="H519">
            <v>0.73555161156186222</v>
          </cell>
          <cell r="I519">
            <v>0.73349979718073544</v>
          </cell>
          <cell r="J519">
            <v>0.72946113660742307</v>
          </cell>
        </row>
        <row r="520">
          <cell r="A520" t="str">
            <v>D-IPLT</v>
          </cell>
          <cell r="B520" t="str">
            <v>VAR_fin</v>
          </cell>
          <cell r="C520" t="str">
            <v>PLT</v>
          </cell>
          <cell r="H520">
            <v>0.73555161156186222</v>
          </cell>
          <cell r="I520">
            <v>0.73349979718073544</v>
          </cell>
          <cell r="J520">
            <v>0.72946113660742307</v>
          </cell>
        </row>
        <row r="521">
          <cell r="A521" t="str">
            <v>ITOT-SWHWODBR</v>
          </cell>
          <cell r="B521" t="str">
            <v>VAR_fout</v>
          </cell>
          <cell r="C521" t="str">
            <v>ITOT-SWH</v>
          </cell>
          <cell r="H521">
            <v>7.5390645204821665</v>
          </cell>
          <cell r="I521">
            <v>5.2750277567885453</v>
          </cell>
          <cell r="J521">
            <v>6.3994435721882486</v>
          </cell>
        </row>
        <row r="522">
          <cell r="A522" t="str">
            <v>ITOT-SWHWODBR</v>
          </cell>
          <cell r="B522" t="str">
            <v>VAR_fin</v>
          </cell>
          <cell r="C522" t="str">
            <v>IWOD</v>
          </cell>
          <cell r="H522">
            <v>12.670696673079265</v>
          </cell>
          <cell r="I522">
            <v>8.8408286426623555</v>
          </cell>
          <cell r="J522">
            <v>10.665739286980417</v>
          </cell>
        </row>
        <row r="523">
          <cell r="A523" t="str">
            <v>ITOT-SWHWODBR</v>
          </cell>
          <cell r="B523" t="str">
            <v>VAR_fin</v>
          </cell>
          <cell r="C523" t="str">
            <v>ITOTWODBRC</v>
          </cell>
          <cell r="H523">
            <v>7.5390645204821665</v>
          </cell>
          <cell r="I523">
            <v>5.2750277567885453</v>
          </cell>
          <cell r="J523">
            <v>6.3994435721882486</v>
          </cell>
        </row>
        <row r="524">
          <cell r="A524" t="str">
            <v>ITOT-SWHWODBR</v>
          </cell>
          <cell r="B524" t="str">
            <v>VAR_ncap</v>
          </cell>
          <cell r="C524" t="str">
            <v>-</v>
          </cell>
          <cell r="H524">
            <v>0.28938903101817098</v>
          </cell>
          <cell r="I524">
            <v>4.7044585967583298E-2</v>
          </cell>
          <cell r="J524">
            <v>0.23899516763710399</v>
          </cell>
        </row>
        <row r="525">
          <cell r="A525" t="str">
            <v>ITOT-SWHWODBR</v>
          </cell>
          <cell r="B525" t="str">
            <v>VAR_cap</v>
          </cell>
          <cell r="C525" t="str">
            <v>-</v>
          </cell>
          <cell r="H525">
            <v>0.42838158292510986</v>
          </cell>
          <cell r="I525">
            <v>0.36102388966673887</v>
          </cell>
          <cell r="J525">
            <v>0.39551360921220657</v>
          </cell>
        </row>
        <row r="526">
          <cell r="A526" t="str">
            <v>D-ITOT_KEV_WOD_ELC_CHP</v>
          </cell>
          <cell r="B526" t="str">
            <v>VAR_fout</v>
          </cell>
          <cell r="C526" t="str">
            <v>ITOT_ELC</v>
          </cell>
          <cell r="H526">
            <v>2.7542132908239734</v>
          </cell>
          <cell r="I526">
            <v>2.9359042392357284</v>
          </cell>
          <cell r="J526">
            <v>3.8103472994733352</v>
          </cell>
        </row>
        <row r="527">
          <cell r="A527" t="str">
            <v>D-ITOT_KEV_WOD_ELC_CHP</v>
          </cell>
          <cell r="B527" t="str">
            <v>VAR_fout</v>
          </cell>
          <cell r="C527" t="str">
            <v>ELC5</v>
          </cell>
          <cell r="H527">
            <v>7.5354913698871661E-3</v>
          </cell>
          <cell r="I527">
            <v>4.4260192377799427E-2</v>
          </cell>
          <cell r="J527">
            <v>4.6983895757115687E-2</v>
          </cell>
        </row>
        <row r="528">
          <cell r="A528" t="str">
            <v>D-ITOT_KEV_WOD_ELC_CHP</v>
          </cell>
          <cell r="B528" t="str">
            <v>VAR_fin</v>
          </cell>
          <cell r="C528" t="str">
            <v>ITOT_KEV_WOD_ELC_CHP</v>
          </cell>
          <cell r="H528">
            <v>2.7617001987391947</v>
          </cell>
          <cell r="I528">
            <v>2.9801644316135301</v>
          </cell>
          <cell r="J528">
            <v>3.8573311952304499</v>
          </cell>
        </row>
        <row r="529">
          <cell r="A529" t="str">
            <v>RHEM-SHSTG-SOL</v>
          </cell>
          <cell r="B529" t="str">
            <v>VAR_fout</v>
          </cell>
          <cell r="C529" t="str">
            <v>RHEM-SHASOL</v>
          </cell>
          <cell r="H529">
            <v>6.7571084949267449E-3</v>
          </cell>
          <cell r="I529">
            <v>2.2251316033816224E-3</v>
          </cell>
          <cell r="J529">
            <v>1.8207169631210545E-3</v>
          </cell>
        </row>
        <row r="530">
          <cell r="A530" t="str">
            <v>RHEM-SHSTG-SOL</v>
          </cell>
          <cell r="B530" t="str">
            <v>VAR_fout</v>
          </cell>
          <cell r="C530" t="str">
            <v>AUX_RHEM-SHSTG-SOL_OUT</v>
          </cell>
          <cell r="H530">
            <v>6.7638656034216746E-3</v>
          </cell>
          <cell r="I530">
            <v>2.2273567349850032E-3</v>
          </cell>
          <cell r="J530">
            <v>1.8225376800841753E-3</v>
          </cell>
        </row>
        <row r="531">
          <cell r="A531" t="str">
            <v>RHEM-SHSTG-SOL</v>
          </cell>
          <cell r="B531" t="str">
            <v>VAR_fin</v>
          </cell>
          <cell r="C531" t="str">
            <v>RHEM-SHASOL</v>
          </cell>
          <cell r="H531">
            <v>6.752314025615761E-3</v>
          </cell>
          <cell r="I531">
            <v>2.2195354536089324E-3</v>
          </cell>
          <cell r="J531">
            <v>1.8129919341688637E-3</v>
          </cell>
        </row>
        <row r="532">
          <cell r="A532" t="str">
            <v>RHEM-SHSTG-SOL</v>
          </cell>
          <cell r="B532" t="str">
            <v>VAR_ncap</v>
          </cell>
          <cell r="C532" t="str">
            <v>-</v>
          </cell>
          <cell r="H532">
            <v>3.4303004882197899E-4</v>
          </cell>
          <cell r="I532">
            <v>7.3528487191516599E-5</v>
          </cell>
          <cell r="J532">
            <v>1.4435494075423899E-4</v>
          </cell>
        </row>
        <row r="533">
          <cell r="A533" t="str">
            <v>RHEM-SHSTG-SOL</v>
          </cell>
          <cell r="B533" t="str">
            <v>VAR_cap</v>
          </cell>
          <cell r="C533" t="str">
            <v>-</v>
          </cell>
          <cell r="H533">
            <v>4.59621050955246E-3</v>
          </cell>
          <cell r="I533">
            <v>4.1719823375473098E-4</v>
          </cell>
          <cell r="J533">
            <v>3.4281690477074798E-4</v>
          </cell>
        </row>
        <row r="534">
          <cell r="A534" t="str">
            <v>ITOT-SWHCONBR10</v>
          </cell>
          <cell r="B534" t="str">
            <v>VAR_fout</v>
          </cell>
          <cell r="C534" t="str">
            <v>ITOT-ELS</v>
          </cell>
          <cell r="J534">
            <v>6.8952538673642923E-5</v>
          </cell>
        </row>
        <row r="535">
          <cell r="A535" t="str">
            <v>ITOT-SWHCONBR10</v>
          </cell>
          <cell r="B535" t="str">
            <v>VAR_fout</v>
          </cell>
          <cell r="C535" t="str">
            <v>ITOT-SWHC</v>
          </cell>
          <cell r="J535">
            <v>4.246169172655374E-4</v>
          </cell>
        </row>
        <row r="536">
          <cell r="A536" t="str">
            <v>ITOT-SWHCONBR10</v>
          </cell>
          <cell r="B536" t="str">
            <v>VAR_fin</v>
          </cell>
          <cell r="C536" t="str">
            <v>CON</v>
          </cell>
          <cell r="J536">
            <v>4.935694559391802E-4</v>
          </cell>
        </row>
        <row r="537">
          <cell r="A537" t="str">
            <v>ITOT-SWHCONBR10</v>
          </cell>
          <cell r="B537" t="str">
            <v>VAR_ncap</v>
          </cell>
          <cell r="C537" t="str">
            <v>-</v>
          </cell>
          <cell r="J537">
            <v>2.4435412706153299E-5</v>
          </cell>
        </row>
        <row r="538">
          <cell r="A538" t="str">
            <v>ITOT-SWHCONBR10</v>
          </cell>
          <cell r="B538" t="str">
            <v>VAR_cap</v>
          </cell>
          <cell r="C538" t="str">
            <v>-</v>
          </cell>
          <cell r="J538">
            <v>2.4435412706153299E-5</v>
          </cell>
        </row>
        <row r="539">
          <cell r="A539" t="str">
            <v>SCOM-SHSTG</v>
          </cell>
          <cell r="B539" t="str">
            <v>VAR_fout</v>
          </cell>
          <cell r="C539" t="str">
            <v>AUX_SCOM-SHSTG_OUT</v>
          </cell>
          <cell r="H539">
            <v>1.0356494835451327E-4</v>
          </cell>
          <cell r="I539">
            <v>1.5148145650164513E-4</v>
          </cell>
          <cell r="J539">
            <v>4.2734159043928462E-3</v>
          </cell>
        </row>
        <row r="540">
          <cell r="A540" t="str">
            <v>SCOM-SHSTG</v>
          </cell>
          <cell r="B540" t="str">
            <v>VAR_fout</v>
          </cell>
          <cell r="C540" t="str">
            <v>SCOM-SHD</v>
          </cell>
          <cell r="H540">
            <v>1.0368014851953479E-4</v>
          </cell>
          <cell r="I540">
            <v>1.5148145650164497E-4</v>
          </cell>
          <cell r="J540">
            <v>4.2734159043928462E-3</v>
          </cell>
        </row>
        <row r="541">
          <cell r="A541" t="str">
            <v>SCOM-SHSTG</v>
          </cell>
          <cell r="B541" t="str">
            <v>VAR_fin</v>
          </cell>
          <cell r="C541" t="str">
            <v>AUX_SCOM-SHSTG_IN</v>
          </cell>
          <cell r="H541">
            <v>1.1682721094708532E-4</v>
          </cell>
          <cell r="I541">
            <v>1.6427445254267801E-4</v>
          </cell>
          <cell r="J541">
            <v>4.3150347298470297E-3</v>
          </cell>
        </row>
        <row r="542">
          <cell r="A542" t="str">
            <v>SCOM-SHSTG</v>
          </cell>
          <cell r="B542" t="str">
            <v>VAR_fin</v>
          </cell>
          <cell r="C542" t="str">
            <v>SCOM-SHD</v>
          </cell>
          <cell r="H542">
            <v>1.1682721094708532E-4</v>
          </cell>
          <cell r="I542">
            <v>1.6427445254267801E-4</v>
          </cell>
          <cell r="J542">
            <v>4.3150347298470297E-3</v>
          </cell>
        </row>
        <row r="543">
          <cell r="A543" t="str">
            <v>SCOM-SHSTG</v>
          </cell>
          <cell r="B543" t="str">
            <v>VAR_ncap</v>
          </cell>
          <cell r="C543" t="str">
            <v>-</v>
          </cell>
          <cell r="H543">
            <v>3.5472694799883799E-4</v>
          </cell>
          <cell r="I543">
            <v>6.67853536966234E-4</v>
          </cell>
          <cell r="J543">
            <v>8.9984387861846498E-4</v>
          </cell>
        </row>
        <row r="544">
          <cell r="A544" t="str">
            <v>SCOM-SHSTG</v>
          </cell>
          <cell r="B544" t="str">
            <v>VAR_cap</v>
          </cell>
          <cell r="C544" t="str">
            <v>-</v>
          </cell>
          <cell r="H544">
            <v>1.7393171301229675E-3</v>
          </cell>
          <cell r="I544">
            <v>1.5044701153279353E-3</v>
          </cell>
          <cell r="J544">
            <v>1.8405140275832327E-3</v>
          </cell>
        </row>
        <row r="545">
          <cell r="A545" t="str">
            <v>D-ITOT_KEV_HFC_ELC_CHP</v>
          </cell>
          <cell r="B545" t="str">
            <v>VAR_fout</v>
          </cell>
          <cell r="C545" t="str">
            <v>ITOT_ELC</v>
          </cell>
          <cell r="H545">
            <v>7.6949951638389047E-3</v>
          </cell>
          <cell r="I545">
            <v>0.15549325377474693</v>
          </cell>
          <cell r="J545">
            <v>0.1513849995458354</v>
          </cell>
        </row>
        <row r="546">
          <cell r="A546" t="str">
            <v>D-ITOT_KEV_HFC_ELC_CHP</v>
          </cell>
          <cell r="B546" t="str">
            <v>VAR_fout</v>
          </cell>
          <cell r="C546" t="str">
            <v>ELC5</v>
          </cell>
          <cell r="H546">
            <v>3.2326984233500824E-3</v>
          </cell>
          <cell r="I546">
            <v>2.6014683650340053E-2</v>
          </cell>
          <cell r="J546">
            <v>1.7939039370420885E-2</v>
          </cell>
        </row>
        <row r="547">
          <cell r="A547" t="str">
            <v>D-ITOT_KEV_HFC_ELC_CHP</v>
          </cell>
          <cell r="B547" t="str">
            <v>VAR_fin</v>
          </cell>
          <cell r="C547" t="str">
            <v>ITOT_KEV_HFC_ELC_CHP</v>
          </cell>
          <cell r="H547">
            <v>1.0883168147294191E-2</v>
          </cell>
          <cell r="I547">
            <v>0.18147735201742932</v>
          </cell>
          <cell r="J547">
            <v>0.16930178017899367</v>
          </cell>
        </row>
        <row r="548">
          <cell r="A548" t="str">
            <v>D-RNGA</v>
          </cell>
          <cell r="B548" t="str">
            <v>VAR_fout</v>
          </cell>
          <cell r="C548" t="str">
            <v>CO2</v>
          </cell>
          <cell r="H548">
            <v>1717.5075695788801</v>
          </cell>
          <cell r="I548">
            <v>977.07082224525004</v>
          </cell>
          <cell r="J548">
            <v>570.33851686808202</v>
          </cell>
        </row>
        <row r="549">
          <cell r="A549" t="str">
            <v>D-RNGA</v>
          </cell>
          <cell r="B549" t="str">
            <v>VAR_fout</v>
          </cell>
          <cell r="C549" t="str">
            <v>RNGA</v>
          </cell>
          <cell r="H549">
            <v>31.219060520562351</v>
          </cell>
          <cell r="I549">
            <v>22.840214217369468</v>
          </cell>
          <cell r="J549">
            <v>15.960018483021955</v>
          </cell>
        </row>
        <row r="550">
          <cell r="A550" t="str">
            <v>D-RNGA</v>
          </cell>
          <cell r="B550" t="str">
            <v>VAR_fout</v>
          </cell>
          <cell r="C550" t="str">
            <v>RSH2</v>
          </cell>
          <cell r="H550">
            <v>7.0946254560474995E-3</v>
          </cell>
          <cell r="I550">
            <v>1.3929601969414044E-2</v>
          </cell>
          <cell r="J550">
            <v>1.5905327626479171E-2</v>
          </cell>
        </row>
        <row r="551">
          <cell r="A551" t="str">
            <v>D-RNGA</v>
          </cell>
          <cell r="B551" t="str">
            <v>VAR_fin</v>
          </cell>
          <cell r="C551" t="str">
            <v>NGA</v>
          </cell>
          <cell r="H551">
            <v>30.452261871965931</v>
          </cell>
          <cell r="I551">
            <v>17.323950749029255</v>
          </cell>
          <cell r="J551">
            <v>10.112385050852522</v>
          </cell>
        </row>
        <row r="552">
          <cell r="A552" t="str">
            <v>D-RNGA</v>
          </cell>
          <cell r="B552" t="str">
            <v>VAR_fin</v>
          </cell>
          <cell r="C552" t="str">
            <v>BNGA</v>
          </cell>
          <cell r="H552">
            <v>0.86660171710697642</v>
          </cell>
          <cell r="I552">
            <v>5.5893077488141438</v>
          </cell>
          <cell r="J552">
            <v>5.8989605000300154</v>
          </cell>
        </row>
        <row r="553">
          <cell r="A553" t="str">
            <v>D-RNGA</v>
          </cell>
          <cell r="B553" t="str">
            <v>VAR_fin</v>
          </cell>
          <cell r="C553" t="str">
            <v>H2</v>
          </cell>
          <cell r="H553">
            <v>7.0899432396952953E-3</v>
          </cell>
          <cell r="I553">
            <v>1.392619501260957E-2</v>
          </cell>
          <cell r="J553">
            <v>1.5896903463357367E-2</v>
          </cell>
        </row>
        <row r="554">
          <cell r="A554" t="str">
            <v>D-RNGA</v>
          </cell>
          <cell r="B554" t="str">
            <v>VAR_ncap</v>
          </cell>
          <cell r="C554" t="str">
            <v>-</v>
          </cell>
          <cell r="H554">
            <v>2.98799426262555E-7</v>
          </cell>
          <cell r="I554">
            <v>3.6933992438233298E-7</v>
          </cell>
          <cell r="J554">
            <v>6.4330643493470095E-7</v>
          </cell>
        </row>
        <row r="555">
          <cell r="A555" t="str">
            <v>D-RNGA</v>
          </cell>
          <cell r="B555" t="str">
            <v>VAR_cap</v>
          </cell>
          <cell r="C555" t="str">
            <v>-</v>
          </cell>
          <cell r="H555">
            <v>3.0972415857825739</v>
          </cell>
          <cell r="I555">
            <v>3.0972419551224983</v>
          </cell>
          <cell r="J555">
            <v>1.5532848390692333</v>
          </cell>
        </row>
        <row r="556">
          <cell r="A556" t="str">
            <v>RHNS-SHLTHCHPNGA</v>
          </cell>
          <cell r="B556" t="str">
            <v>VAR_fout</v>
          </cell>
          <cell r="C556" t="str">
            <v>RHNS-SHLTHC-NGA</v>
          </cell>
        </row>
        <row r="557">
          <cell r="A557" t="str">
            <v>RHNS-SHLTHCHPNGA</v>
          </cell>
          <cell r="B557" t="str">
            <v>VAR_fin</v>
          </cell>
          <cell r="C557" t="str">
            <v>RHNSLTHCHPC</v>
          </cell>
        </row>
        <row r="558">
          <cell r="A558" t="str">
            <v>RHNS-SHLTHCHPNGA</v>
          </cell>
          <cell r="B558" t="str">
            <v>VAR_fin</v>
          </cell>
          <cell r="C558" t="str">
            <v>RHNS_LTH_CHPNGA_ON</v>
          </cell>
        </row>
        <row r="559">
          <cell r="A559" t="str">
            <v>RHNS-SHLTHCHPNGA</v>
          </cell>
          <cell r="B559" t="str">
            <v>VAR_ncap</v>
          </cell>
          <cell r="C559" t="str">
            <v>-</v>
          </cell>
          <cell r="H559">
            <v>1.6467164262095701E-4</v>
          </cell>
          <cell r="I559">
            <v>6.7877467447182904E-5</v>
          </cell>
          <cell r="J559">
            <v>6.6752896867731106E-8</v>
          </cell>
        </row>
        <row r="560">
          <cell r="A560" t="str">
            <v>RHNS-SHLTHCHPNGA</v>
          </cell>
          <cell r="B560" t="str">
            <v>VAR_cap</v>
          </cell>
          <cell r="C560" t="str">
            <v>-</v>
          </cell>
          <cell r="H560">
            <v>2.9183071848618903E-4</v>
          </cell>
          <cell r="I560">
            <v>1.34676993066215E-4</v>
          </cell>
        </row>
        <row r="561">
          <cell r="A561" t="str">
            <v>D-SCOM_KEV_BIO_ELC_CHP</v>
          </cell>
          <cell r="B561" t="str">
            <v>VAR_fout</v>
          </cell>
          <cell r="C561" t="str">
            <v>ELC5</v>
          </cell>
          <cell r="H561">
            <v>2.4644875907643697E-3</v>
          </cell>
          <cell r="I561">
            <v>2.578398372696509E-3</v>
          </cell>
          <cell r="J561">
            <v>1.3895946652596649E-3</v>
          </cell>
        </row>
        <row r="562">
          <cell r="A562" t="str">
            <v>D-SCOM_KEV_BIO_ELC_CHP</v>
          </cell>
          <cell r="B562" t="str">
            <v>VAR_fout</v>
          </cell>
          <cell r="C562" t="str">
            <v>SCOM_ELC</v>
          </cell>
          <cell r="H562">
            <v>1.1035786878049991</v>
          </cell>
          <cell r="I562">
            <v>1.1034535161686529</v>
          </cell>
          <cell r="J562">
            <v>1.1046343068039304</v>
          </cell>
        </row>
        <row r="563">
          <cell r="A563" t="str">
            <v>D-SCOM_KEV_BIO_ELC_CHP</v>
          </cell>
          <cell r="B563" t="str">
            <v>VAR_fin</v>
          </cell>
          <cell r="C563" t="str">
            <v>SCOM_KEV_BIO_ELC_CHP</v>
          </cell>
          <cell r="H563">
            <v>1.1059991663876836</v>
          </cell>
          <cell r="I563">
            <v>1.1059952646560558</v>
          </cell>
          <cell r="J563">
            <v>1.1059960890383447</v>
          </cell>
        </row>
        <row r="564">
          <cell r="A564" t="str">
            <v>RHES-SHLTHCHPWOD</v>
          </cell>
          <cell r="B564" t="str">
            <v>VAR_ncap</v>
          </cell>
          <cell r="C564" t="str">
            <v>-</v>
          </cell>
          <cell r="H564">
            <v>2.9530026667729599E-4</v>
          </cell>
          <cell r="I564">
            <v>2.1132727336295099E-4</v>
          </cell>
          <cell r="J564">
            <v>6.8131278156495994E-5</v>
          </cell>
        </row>
        <row r="565">
          <cell r="A565" t="str">
            <v>RHES-SHLTHCHPWOD</v>
          </cell>
          <cell r="B565" t="str">
            <v>VAR_cap</v>
          </cell>
          <cell r="C565" t="str">
            <v>-</v>
          </cell>
          <cell r="H565">
            <v>3.7064223883052108E-4</v>
          </cell>
          <cell r="I565">
            <v>3.6606619422449701E-4</v>
          </cell>
          <cell r="J565">
            <v>1.3140805071207501E-4</v>
          </cell>
        </row>
        <row r="566">
          <cell r="A566" t="str">
            <v>RHES-SHSTG-NGAHP</v>
          </cell>
          <cell r="B566" t="str">
            <v>VAR_fout</v>
          </cell>
          <cell r="C566" t="str">
            <v>RHES-SHANGAH</v>
          </cell>
          <cell r="H566">
            <v>0.53008573066340958</v>
          </cell>
          <cell r="I566">
            <v>0.72647862213964431</v>
          </cell>
          <cell r="J566">
            <v>0.63340586563692358</v>
          </cell>
        </row>
        <row r="567">
          <cell r="A567" t="str">
            <v>RHES-SHSTG-NGAHP</v>
          </cell>
          <cell r="B567" t="str">
            <v>VAR_fout</v>
          </cell>
          <cell r="C567" t="str">
            <v>AUX_RHES-SHSTG-NGAHP_OUT</v>
          </cell>
          <cell r="H567">
            <v>0.53061581639407207</v>
          </cell>
          <cell r="I567">
            <v>0.72720510076178435</v>
          </cell>
          <cell r="J567">
            <v>0.63403927150256034</v>
          </cell>
        </row>
        <row r="568">
          <cell r="A568" t="str">
            <v>RHES-SHSTG-NGAHP</v>
          </cell>
          <cell r="B568" t="str">
            <v>VAR_fin</v>
          </cell>
          <cell r="C568" t="str">
            <v>RHES-SHANGAH</v>
          </cell>
          <cell r="H568">
            <v>0.53013705703053349</v>
          </cell>
          <cell r="I568">
            <v>0.72650807656173932</v>
          </cell>
          <cell r="J568">
            <v>0.63344633305341791</v>
          </cell>
        </row>
        <row r="569">
          <cell r="A569" t="str">
            <v>RHES-SHSTG-NGAHP</v>
          </cell>
          <cell r="B569" t="str">
            <v>VAR_ncap</v>
          </cell>
          <cell r="C569" t="str">
            <v>-</v>
          </cell>
          <cell r="H569">
            <v>1.61069646964398E-2</v>
          </cell>
          <cell r="I569">
            <v>5.7924495799278101E-2</v>
          </cell>
          <cell r="J569">
            <v>5.6075642249605401E-2</v>
          </cell>
        </row>
        <row r="570">
          <cell r="A570" t="str">
            <v>RHES-SHSTG-NGAHP</v>
          </cell>
          <cell r="B570" t="str">
            <v>VAR_cap</v>
          </cell>
          <cell r="C570" t="str">
            <v>-</v>
          </cell>
          <cell r="H570">
            <v>9.4428229229473484E-2</v>
          </cell>
          <cell r="I570">
            <v>0.11116576524326995</v>
          </cell>
          <cell r="J570">
            <v>0.10485378904812839</v>
          </cell>
        </row>
        <row r="571">
          <cell r="A571" t="str">
            <v>D-RHNS_SOLELC</v>
          </cell>
          <cell r="B571" t="str">
            <v>VAR_fout</v>
          </cell>
          <cell r="C571" t="str">
            <v>RHNS_ELC</v>
          </cell>
          <cell r="H571">
            <v>7.1879219846441549</v>
          </cell>
          <cell r="I571">
            <v>7.1956845176772433</v>
          </cell>
          <cell r="J571">
            <v>7.6788138315898706</v>
          </cell>
        </row>
        <row r="572">
          <cell r="A572" t="str">
            <v>D-RHNS_SOLELC</v>
          </cell>
          <cell r="B572" t="str">
            <v>VAR_fout</v>
          </cell>
          <cell r="C572" t="str">
            <v>ELC5</v>
          </cell>
          <cell r="H572">
            <v>2.1077304418269682E-3</v>
          </cell>
          <cell r="I572">
            <v>0.29536442393932377</v>
          </cell>
          <cell r="J572">
            <v>0.21224693129571787</v>
          </cell>
        </row>
        <row r="573">
          <cell r="A573" t="str">
            <v>D-RHNS_SOLELC</v>
          </cell>
          <cell r="B573" t="str">
            <v>VAR_fin</v>
          </cell>
          <cell r="C573" t="str">
            <v>RHNS_SOL_ELC</v>
          </cell>
          <cell r="H573">
            <v>7.1900297150859762</v>
          </cell>
          <cell r="I573">
            <v>7.491048941616568</v>
          </cell>
          <cell r="J573">
            <v>7.8910607628855853</v>
          </cell>
        </row>
        <row r="574">
          <cell r="A574" t="str">
            <v>D-IHFO</v>
          </cell>
          <cell r="B574" t="str">
            <v>VAR_fout</v>
          </cell>
          <cell r="C574" t="str">
            <v>CO2</v>
          </cell>
          <cell r="H574">
            <v>0.54786749310903704</v>
          </cell>
          <cell r="I574">
            <v>3.8028282218702601E-2</v>
          </cell>
        </row>
        <row r="575">
          <cell r="A575" t="str">
            <v>D-IHFO</v>
          </cell>
          <cell r="B575" t="str">
            <v>VAR_fout</v>
          </cell>
          <cell r="C575" t="str">
            <v>IHFO</v>
          </cell>
          <cell r="H575">
            <v>6.9963307466474464E-3</v>
          </cell>
          <cell r="I575">
            <v>4.8562552711252805E-4</v>
          </cell>
        </row>
        <row r="576">
          <cell r="A576" t="str">
            <v>D-IHFO</v>
          </cell>
          <cell r="B576" t="str">
            <v>VAR_fin</v>
          </cell>
          <cell r="C576" t="str">
            <v>HFO</v>
          </cell>
          <cell r="H576">
            <v>7.1151622481693136E-3</v>
          </cell>
          <cell r="I576">
            <v>4.9387379504808534E-4</v>
          </cell>
        </row>
        <row r="577">
          <cell r="A577" t="str">
            <v>RHEM-SHCONBR</v>
          </cell>
          <cell r="B577" t="str">
            <v>VAR_fout</v>
          </cell>
          <cell r="C577" t="str">
            <v>RHEM-SHCON</v>
          </cell>
          <cell r="H577">
            <v>6.3131208713373087E-4</v>
          </cell>
          <cell r="I577">
            <v>6.5325448170433921E-4</v>
          </cell>
          <cell r="J577">
            <v>2.1017405558107043E-3</v>
          </cell>
        </row>
        <row r="578">
          <cell r="A578" t="str">
            <v>RHEM-SHCONBR</v>
          </cell>
          <cell r="B578" t="str">
            <v>VAR_fin</v>
          </cell>
          <cell r="C578" t="str">
            <v>CON</v>
          </cell>
          <cell r="H578">
            <v>6.3131208713373087E-4</v>
          </cell>
          <cell r="I578">
            <v>6.5325448170433921E-4</v>
          </cell>
          <cell r="J578">
            <v>2.1017405558107043E-3</v>
          </cell>
        </row>
        <row r="579">
          <cell r="A579" t="str">
            <v>RHEM-SHCONBR</v>
          </cell>
          <cell r="B579" t="str">
            <v>VAR_ncap</v>
          </cell>
          <cell r="C579" t="str">
            <v>-</v>
          </cell>
          <cell r="H579">
            <v>2.5567835745644E-5</v>
          </cell>
          <cell r="I579">
            <v>1.7092723638270001E-6</v>
          </cell>
          <cell r="J579">
            <v>1.01907816676147E-4</v>
          </cell>
        </row>
        <row r="580">
          <cell r="A580" t="str">
            <v>RHEM-SHCONBR</v>
          </cell>
          <cell r="B580" t="str">
            <v>VAR_cap</v>
          </cell>
          <cell r="C580" t="str">
            <v>-</v>
          </cell>
          <cell r="H580">
            <v>4.373215626501353E-5</v>
          </cell>
          <cell r="I580">
            <v>4.5414900185938421E-5</v>
          </cell>
          <cell r="J580">
            <v>1.4751209990799622E-4</v>
          </cell>
        </row>
        <row r="581">
          <cell r="A581" t="str">
            <v>RHEM-SHSOLBR</v>
          </cell>
          <cell r="B581" t="str">
            <v>VAR_fout</v>
          </cell>
          <cell r="C581" t="str">
            <v>RHEM-SHASOL</v>
          </cell>
          <cell r="H581">
            <v>1.1602270284221524E-2</v>
          </cell>
          <cell r="I581">
            <v>1.1161759886312544E-2</v>
          </cell>
          <cell r="J581">
            <v>9.2483206072211041E-3</v>
          </cell>
        </row>
        <row r="582">
          <cell r="A582" t="str">
            <v>RHEM-SHSOLBR</v>
          </cell>
          <cell r="B582" t="str">
            <v>VAR_fin</v>
          </cell>
          <cell r="C582" t="str">
            <v>SOL</v>
          </cell>
          <cell r="H582">
            <v>1.1602270284221524E-2</v>
          </cell>
          <cell r="I582">
            <v>1.1161759886312544E-2</v>
          </cell>
          <cell r="J582">
            <v>9.2483206072211041E-3</v>
          </cell>
        </row>
        <row r="583">
          <cell r="A583" t="str">
            <v>RHEM-SHSOLBR</v>
          </cell>
          <cell r="B583" t="str">
            <v>VAR_ncap</v>
          </cell>
          <cell r="C583" t="str">
            <v>-</v>
          </cell>
          <cell r="H583">
            <v>3.5571612466419E-6</v>
          </cell>
          <cell r="I583">
            <v>1.7596964507716199E-3</v>
          </cell>
          <cell r="J583">
            <v>1.7619120987318301E-4</v>
          </cell>
        </row>
        <row r="584">
          <cell r="A584" t="str">
            <v>RHEM-SHSOLBR</v>
          </cell>
          <cell r="B584" t="str">
            <v>VAR_cap</v>
          </cell>
          <cell r="C584" t="str">
            <v>-</v>
          </cell>
          <cell r="H584">
            <v>1.9521626592811273E-2</v>
          </cell>
          <cell r="I584">
            <v>1.7631724778482173E-3</v>
          </cell>
          <cell r="J584">
            <v>1.4543227615632275E-3</v>
          </cell>
        </row>
        <row r="585">
          <cell r="A585" t="str">
            <v>SCOM-SHH2BR</v>
          </cell>
          <cell r="B585" t="str">
            <v>VAR_ncap</v>
          </cell>
          <cell r="C585" t="str">
            <v>-</v>
          </cell>
          <cell r="H585">
            <v>0.33794699405948903</v>
          </cell>
          <cell r="I585">
            <v>0.69371113853274702</v>
          </cell>
          <cell r="J585">
            <v>0.39742165735887602</v>
          </cell>
        </row>
        <row r="586">
          <cell r="A586" t="str">
            <v>SCOM-SHH2BR</v>
          </cell>
          <cell r="B586" t="str">
            <v>VAR_cap</v>
          </cell>
          <cell r="C586" t="str">
            <v>-</v>
          </cell>
          <cell r="H586">
            <v>0.33794631757472099</v>
          </cell>
          <cell r="I586">
            <v>1.0316561891857952</v>
          </cell>
          <cell r="J586">
            <v>1.0438184479589601</v>
          </cell>
        </row>
        <row r="587">
          <cell r="A587" t="str">
            <v>ITOT-SWHCONBR1</v>
          </cell>
          <cell r="B587" t="str">
            <v>VAR_fout</v>
          </cell>
          <cell r="C587" t="str">
            <v>ITOT-ELS</v>
          </cell>
          <cell r="H587">
            <v>0.7814887638160003</v>
          </cell>
          <cell r="I587">
            <v>0.96986145578227589</v>
          </cell>
          <cell r="J587">
            <v>0.96986378472085188</v>
          </cell>
        </row>
        <row r="588">
          <cell r="A588" t="str">
            <v>ITOT-SWHCONBR1</v>
          </cell>
          <cell r="B588" t="str">
            <v>VAR_fout</v>
          </cell>
          <cell r="C588" t="str">
            <v>ITOT-SWHC</v>
          </cell>
          <cell r="H588">
            <v>3.7150808450493931</v>
          </cell>
          <cell r="I588">
            <v>4.6105764837033512</v>
          </cell>
          <cell r="J588">
            <v>4.6105875551294497</v>
          </cell>
        </row>
        <row r="589">
          <cell r="A589" t="str">
            <v>ITOT-SWHCONBR1</v>
          </cell>
          <cell r="B589" t="str">
            <v>VAR_fin</v>
          </cell>
          <cell r="C589" t="str">
            <v>CON</v>
          </cell>
          <cell r="H589">
            <v>4.4965696088653937</v>
          </cell>
          <cell r="I589">
            <v>5.5804379394856234</v>
          </cell>
          <cell r="J589">
            <v>5.5804513398503035</v>
          </cell>
        </row>
        <row r="590">
          <cell r="A590" t="str">
            <v>ITOT-SWHCONBR1</v>
          </cell>
          <cell r="B590" t="str">
            <v>VAR_ncap</v>
          </cell>
          <cell r="C590" t="str">
            <v>-</v>
          </cell>
          <cell r="H590">
            <v>8.0128534832048806E-2</v>
          </cell>
          <cell r="I590">
            <v>0.15076436195411799</v>
          </cell>
          <cell r="J590">
            <v>0.16022981693508301</v>
          </cell>
        </row>
        <row r="591">
          <cell r="A591" t="str">
            <v>ITOT-SWHCONBR1</v>
          </cell>
          <cell r="B591" t="str">
            <v>VAR_cap</v>
          </cell>
          <cell r="C591" t="str">
            <v>-</v>
          </cell>
          <cell r="H591">
            <v>0.244550398963503</v>
          </cell>
          <cell r="I591">
            <v>0.30353834305208399</v>
          </cell>
          <cell r="J591">
            <v>0.30353851026486001</v>
          </cell>
        </row>
        <row r="592">
          <cell r="A592" t="str">
            <v>SCOM-SHLTHCHPWOD</v>
          </cell>
          <cell r="B592" t="str">
            <v>VAR_ncap</v>
          </cell>
          <cell r="C592" t="str">
            <v>-</v>
          </cell>
          <cell r="H592">
            <v>3.31955329447385E-4</v>
          </cell>
          <cell r="I592">
            <v>2.1208616629108201E-4</v>
          </cell>
          <cell r="J592">
            <v>7.4793457008236796E-5</v>
          </cell>
        </row>
        <row r="593">
          <cell r="A593" t="str">
            <v>SCOM-SHLTHCHPWOD</v>
          </cell>
          <cell r="B593" t="str">
            <v>VAR_cap</v>
          </cell>
          <cell r="C593" t="str">
            <v>-</v>
          </cell>
          <cell r="H593">
            <v>4.1139223443404803E-4</v>
          </cell>
          <cell r="I593">
            <v>3.3355697205537395E-4</v>
          </cell>
          <cell r="J593">
            <v>1.34333299800207E-4</v>
          </cell>
        </row>
        <row r="594">
          <cell r="A594" t="str">
            <v>SCOM-SHSTG-NGAHP</v>
          </cell>
          <cell r="B594" t="str">
            <v>VAR_fout</v>
          </cell>
          <cell r="C594" t="str">
            <v>SCOM-SHANGAH</v>
          </cell>
          <cell r="H594">
            <v>5.3446926304954998E-5</v>
          </cell>
          <cell r="I594">
            <v>6.0813100009069035E-5</v>
          </cell>
          <cell r="J594">
            <v>1.7212119684240793E-5</v>
          </cell>
        </row>
        <row r="595">
          <cell r="A595" t="str">
            <v>SCOM-SHSTG-NGAHP</v>
          </cell>
          <cell r="B595" t="str">
            <v>VAR_fin</v>
          </cell>
          <cell r="C595" t="str">
            <v>SCOM-SHANGAH</v>
          </cell>
          <cell r="H595">
            <v>6.3030545571957604E-5</v>
          </cell>
          <cell r="I595">
            <v>5.5256250826834272E-5</v>
          </cell>
          <cell r="J595">
            <v>1.2045867585236296E-5</v>
          </cell>
        </row>
        <row r="596">
          <cell r="A596" t="str">
            <v>SCOM-SHSTG-NGAHP</v>
          </cell>
          <cell r="B596" t="str">
            <v>VAR_ncap</v>
          </cell>
          <cell r="C596" t="str">
            <v>-</v>
          </cell>
          <cell r="H596">
            <v>3.8446850511374302E-2</v>
          </cell>
          <cell r="I596">
            <v>0.102968023162146</v>
          </cell>
          <cell r="J596">
            <v>0.122176807252752</v>
          </cell>
        </row>
        <row r="597">
          <cell r="A597" t="str">
            <v>SCOM-SHSTG-NGAHP</v>
          </cell>
          <cell r="B597" t="str">
            <v>VAR_cap</v>
          </cell>
          <cell r="C597" t="str">
            <v>-</v>
          </cell>
          <cell r="H597">
            <v>0.15877710234127018</v>
          </cell>
          <cell r="I597">
            <v>0.20167905009585393</v>
          </cell>
          <cell r="J597">
            <v>0.21304864855411051</v>
          </cell>
        </row>
        <row r="598">
          <cell r="A598" t="str">
            <v>ITOT-SWHCONBR2</v>
          </cell>
          <cell r="B598" t="str">
            <v>VAR_fout</v>
          </cell>
          <cell r="C598" t="str">
            <v>ITOT-ELS</v>
          </cell>
          <cell r="H598">
            <v>7.2769551792470945E-3</v>
          </cell>
          <cell r="I598">
            <v>0.88000728910875869</v>
          </cell>
          <cell r="J598">
            <v>0.88000318547883227</v>
          </cell>
        </row>
        <row r="599">
          <cell r="A599" t="str">
            <v>ITOT-SWHCONBR2</v>
          </cell>
          <cell r="B599" t="str">
            <v>VAR_fout</v>
          </cell>
          <cell r="C599" t="str">
            <v>ITOT-SWHC</v>
          </cell>
          <cell r="H599">
            <v>1.1248780106286644E-2</v>
          </cell>
          <cell r="I599">
            <v>1.3603228607679898</v>
          </cell>
          <cell r="J599">
            <v>1.3603165173414415</v>
          </cell>
        </row>
        <row r="600">
          <cell r="A600" t="str">
            <v>ITOT-SWHCONBR2</v>
          </cell>
          <cell r="B600" t="str">
            <v>VAR_fin</v>
          </cell>
          <cell r="C600" t="str">
            <v>CON</v>
          </cell>
          <cell r="H600">
            <v>1.8525735285533709E-2</v>
          </cell>
          <cell r="I600">
            <v>2.2403301498767458</v>
          </cell>
          <cell r="J600">
            <v>2.2403197028202735</v>
          </cell>
        </row>
        <row r="601">
          <cell r="A601" t="str">
            <v>ITOT-SWHCONBR2</v>
          </cell>
          <cell r="B601" t="str">
            <v>VAR_ncap</v>
          </cell>
          <cell r="C601" t="str">
            <v>-</v>
          </cell>
          <cell r="H601">
            <v>9.7158214619311005E-4</v>
          </cell>
          <cell r="I601">
            <v>0.120862023441291</v>
          </cell>
          <cell r="J601">
            <v>3.3732391991703199E-2</v>
          </cell>
        </row>
        <row r="602">
          <cell r="A602" t="str">
            <v>ITOT-SWHCONBR2</v>
          </cell>
          <cell r="B602" t="str">
            <v>VAR_cap</v>
          </cell>
          <cell r="C602" t="str">
            <v>-</v>
          </cell>
          <cell r="H602">
            <v>1.0062923339484899E-3</v>
          </cell>
          <cell r="I602">
            <v>0.12185731217052601</v>
          </cell>
          <cell r="J602">
            <v>0.121856988217683</v>
          </cell>
        </row>
        <row r="603">
          <cell r="A603" t="str">
            <v>RHES-SHCONBR1</v>
          </cell>
          <cell r="B603" t="str">
            <v>VAR_fout</v>
          </cell>
          <cell r="C603" t="str">
            <v>RHES-SHCON</v>
          </cell>
          <cell r="H603">
            <v>4.2623408689476916</v>
          </cell>
          <cell r="I603">
            <v>4.827933371350758</v>
          </cell>
          <cell r="J603">
            <v>6.4142671446775834</v>
          </cell>
        </row>
        <row r="604">
          <cell r="A604" t="str">
            <v>RHES-SHCONBR1</v>
          </cell>
          <cell r="B604" t="str">
            <v>VAR_fin</v>
          </cell>
          <cell r="C604" t="str">
            <v>CON</v>
          </cell>
          <cell r="H604">
            <v>4.2623408689476916</v>
          </cell>
          <cell r="I604">
            <v>4.827933371350758</v>
          </cell>
          <cell r="J604">
            <v>6.4142671446775834</v>
          </cell>
        </row>
        <row r="605">
          <cell r="A605" t="str">
            <v>RHES-SHCONBR1</v>
          </cell>
          <cell r="B605" t="str">
            <v>VAR_ncap</v>
          </cell>
          <cell r="C605" t="str">
            <v>-</v>
          </cell>
          <cell r="H605">
            <v>0.12870534300348599</v>
          </cell>
          <cell r="I605">
            <v>4.5685778401337203E-2</v>
          </cell>
          <cell r="J605">
            <v>0.170067723842385</v>
          </cell>
        </row>
        <row r="606">
          <cell r="A606" t="str">
            <v>RHES-SHCONBR1</v>
          </cell>
          <cell r="B606" t="str">
            <v>VAR_cap</v>
          </cell>
          <cell r="C606" t="str">
            <v>-</v>
          </cell>
          <cell r="H606">
            <v>0.34437833534941553</v>
          </cell>
          <cell r="I606">
            <v>0.39006434515730698</v>
          </cell>
          <cell r="J606">
            <v>0.51820819674647478</v>
          </cell>
        </row>
        <row r="607">
          <cell r="A607" t="str">
            <v>ITOT-SWHCONBR3</v>
          </cell>
          <cell r="B607" t="str">
            <v>VAR_fout</v>
          </cell>
          <cell r="C607" t="str">
            <v>ITOT-ELS</v>
          </cell>
          <cell r="H607">
            <v>1.1369824873418729E-3</v>
          </cell>
          <cell r="I607">
            <v>2.2995911274236751</v>
          </cell>
          <cell r="J607">
            <v>2.2995886700088328</v>
          </cell>
        </row>
        <row r="608">
          <cell r="A608" t="str">
            <v>ITOT-SWHCONBR3</v>
          </cell>
          <cell r="B608" t="str">
            <v>VAR_fout</v>
          </cell>
          <cell r="C608" t="str">
            <v>ITOT-SWHC</v>
          </cell>
          <cell r="H608">
            <v>2.2564062432723696E-3</v>
          </cell>
          <cell r="I608">
            <v>4.5636690403414528</v>
          </cell>
          <cell r="J608">
            <v>4.5636641634623016</v>
          </cell>
        </row>
        <row r="609">
          <cell r="A609" t="str">
            <v>ITOT-SWHCONBR3</v>
          </cell>
          <cell r="B609" t="str">
            <v>VAR_fin</v>
          </cell>
          <cell r="C609" t="str">
            <v>CON</v>
          </cell>
          <cell r="H609">
            <v>3.3933887306142429E-3</v>
          </cell>
          <cell r="I609">
            <v>6.8632601677651266</v>
          </cell>
          <cell r="J609">
            <v>6.8632528334711322</v>
          </cell>
        </row>
        <row r="610">
          <cell r="A610" t="str">
            <v>ITOT-SWHCONBR3</v>
          </cell>
          <cell r="B610" t="str">
            <v>VAR_ncap</v>
          </cell>
          <cell r="C610" t="str">
            <v>-</v>
          </cell>
          <cell r="H610">
            <v>1.5095364328623399E-4</v>
          </cell>
          <cell r="I610">
            <v>0.37314085926659302</v>
          </cell>
          <cell r="J610">
            <v>0.10244887550869</v>
          </cell>
        </row>
        <row r="611">
          <cell r="A611" t="str">
            <v>ITOT-SWHCONBR3</v>
          </cell>
          <cell r="B611" t="str">
            <v>VAR_cap</v>
          </cell>
          <cell r="C611" t="str">
            <v>-</v>
          </cell>
          <cell r="H611">
            <v>1.8259467066633199E-4</v>
          </cell>
          <cell r="I611">
            <v>0.373313423298403</v>
          </cell>
          <cell r="J611">
            <v>0.37331355878996397</v>
          </cell>
        </row>
        <row r="612">
          <cell r="A612" t="str">
            <v>ITOT-ELCSPECADV</v>
          </cell>
          <cell r="B612" t="str">
            <v>VAR_fout</v>
          </cell>
          <cell r="C612" t="str">
            <v>ITOT-ELS</v>
          </cell>
          <cell r="H612">
            <v>2.2598350480699742E-3</v>
          </cell>
          <cell r="I612">
            <v>2.0324588834235648E-3</v>
          </cell>
          <cell r="J612">
            <v>2.0692878959678125E-3</v>
          </cell>
        </row>
        <row r="613">
          <cell r="A613" t="str">
            <v>ITOT-ELCSPECADV</v>
          </cell>
          <cell r="B613" t="str">
            <v>VAR_fin</v>
          </cell>
          <cell r="C613" t="str">
            <v>ITOT_ELC</v>
          </cell>
          <cell r="H613">
            <v>2.1021721377395101E-3</v>
          </cell>
          <cell r="I613">
            <v>1.8476898940214214E-3</v>
          </cell>
          <cell r="J613">
            <v>1.7993807791024442E-3</v>
          </cell>
        </row>
        <row r="614">
          <cell r="A614" t="str">
            <v>ITOT-ELCSPECADV</v>
          </cell>
          <cell r="B614" t="str">
            <v>VAR_ncap</v>
          </cell>
          <cell r="C614" t="str">
            <v>-</v>
          </cell>
          <cell r="H614">
            <v>6.6976884661670095E-5</v>
          </cell>
          <cell r="I614">
            <v>2.7959724071439799E-6</v>
          </cell>
          <cell r="J614">
            <v>2.2129165220680299E-6</v>
          </cell>
        </row>
        <row r="615">
          <cell r="A615" t="str">
            <v>ITOT-ELCSPECADV</v>
          </cell>
          <cell r="B615" t="str">
            <v>VAR_cap</v>
          </cell>
          <cell r="C615" t="str">
            <v>-</v>
          </cell>
          <cell r="H615">
            <v>1.348720437250037E-4</v>
          </cell>
          <cell r="I615">
            <v>1.3697659706380115E-4</v>
          </cell>
          <cell r="J615">
            <v>1.1496133817495278E-4</v>
          </cell>
        </row>
        <row r="616">
          <cell r="A616" t="str">
            <v>RHES-SHELCBR</v>
          </cell>
          <cell r="B616" t="str">
            <v>VAR_fout</v>
          </cell>
          <cell r="C616" t="str">
            <v>RHES-SHAELCB</v>
          </cell>
          <cell r="H616">
            <v>1.3392191394278901E-2</v>
          </cell>
          <cell r="I616">
            <v>3.2198477491252923E-3</v>
          </cell>
          <cell r="J616">
            <v>1.8015072365391816E-3</v>
          </cell>
        </row>
        <row r="617">
          <cell r="A617" t="str">
            <v>RHES-SHELCBR</v>
          </cell>
          <cell r="B617" t="str">
            <v>VAR_fin</v>
          </cell>
          <cell r="C617" t="str">
            <v>RHES_ELC</v>
          </cell>
          <cell r="H617">
            <v>1.4596600206286245E-2</v>
          </cell>
          <cell r="I617">
            <v>3.4763987693965204E-3</v>
          </cell>
          <cell r="J617">
            <v>1.907594276925225E-3</v>
          </cell>
        </row>
        <row r="618">
          <cell r="A618" t="str">
            <v>RHES-SHELCBR</v>
          </cell>
          <cell r="B618" t="str">
            <v>VAR_ncap</v>
          </cell>
          <cell r="C618" t="str">
            <v>-</v>
          </cell>
          <cell r="H618">
            <v>2.387602402505E-6</v>
          </cell>
          <cell r="I618">
            <v>3.60221313398856E-4</v>
          </cell>
          <cell r="J618">
            <v>5.6414839187561705E-7</v>
          </cell>
        </row>
        <row r="619">
          <cell r="A619" t="str">
            <v>RHES-SHELCBR</v>
          </cell>
          <cell r="B619" t="str">
            <v>VAR_cap</v>
          </cell>
          <cell r="C619" t="str">
            <v>-</v>
          </cell>
          <cell r="H619">
            <v>1.9920069346069103E-3</v>
          </cell>
          <cell r="I619">
            <v>3.6173931674877128E-4</v>
          </cell>
          <cell r="J619">
            <v>2.5684177042947142E-4</v>
          </cell>
        </row>
        <row r="620">
          <cell r="A620" t="str">
            <v>RHSA-WHELCBR</v>
          </cell>
          <cell r="B620" t="str">
            <v>VAR_fout</v>
          </cell>
          <cell r="C620" t="str">
            <v>RHSA-WHAELCB</v>
          </cell>
          <cell r="H620">
            <v>2.0816613920226956</v>
          </cell>
          <cell r="I620">
            <v>1.9796619080397238</v>
          </cell>
          <cell r="J620">
            <v>1.778451842229738</v>
          </cell>
        </row>
        <row r="621">
          <cell r="A621" t="str">
            <v>RHSA-WHELCBR</v>
          </cell>
          <cell r="B621" t="str">
            <v>VAR_fin</v>
          </cell>
          <cell r="C621" t="str">
            <v>RHSA_ELC</v>
          </cell>
          <cell r="H621">
            <v>4.180124680098225</v>
          </cell>
          <cell r="I621">
            <v>3.9130975631427982</v>
          </cell>
          <cell r="J621">
            <v>3.4296192180493419</v>
          </cell>
        </row>
        <row r="622">
          <cell r="A622" t="str">
            <v>RHSA-WHELCBR</v>
          </cell>
          <cell r="B622" t="str">
            <v>VAR_ncap</v>
          </cell>
          <cell r="C622" t="str">
            <v>-</v>
          </cell>
          <cell r="H622">
            <v>7.4468293063136196E-2</v>
          </cell>
          <cell r="I622">
            <v>0.11112570629094</v>
          </cell>
          <cell r="J622">
            <v>4.5254897801373699E-2</v>
          </cell>
        </row>
        <row r="623">
          <cell r="A623" t="str">
            <v>RHSA-WHELCBR</v>
          </cell>
          <cell r="B623" t="str">
            <v>VAR_cap</v>
          </cell>
          <cell r="C623" t="str">
            <v>-</v>
          </cell>
          <cell r="H623">
            <v>0.14903660376654018</v>
          </cell>
          <cell r="I623">
            <v>0.18559252547283053</v>
          </cell>
          <cell r="J623">
            <v>0.15740091140754525</v>
          </cell>
        </row>
        <row r="624">
          <cell r="A624" t="str">
            <v>ITOT-SWHLTHDH</v>
          </cell>
          <cell r="B624" t="str">
            <v>VAR_fout</v>
          </cell>
          <cell r="C624" t="str">
            <v>ITOT-SWH</v>
          </cell>
          <cell r="H624">
            <v>7.1660380905458121</v>
          </cell>
          <cell r="I624">
            <v>7.2036071251881797</v>
          </cell>
          <cell r="J624">
            <v>7.9393972902528303</v>
          </cell>
        </row>
        <row r="625">
          <cell r="A625" t="str">
            <v>ITOT-SWHLTHDH</v>
          </cell>
          <cell r="B625" t="str">
            <v>VAR_fin</v>
          </cell>
          <cell r="C625" t="str">
            <v>ITOT_LTH_DH</v>
          </cell>
          <cell r="H625">
            <v>7.6289065419846418</v>
          </cell>
          <cell r="I625">
            <v>7.6286989826304969</v>
          </cell>
          <cell r="J625">
            <v>8.3572603055292891</v>
          </cell>
        </row>
        <row r="626">
          <cell r="A626" t="str">
            <v>ITOT-SWHLTHDH</v>
          </cell>
          <cell r="B626" t="str">
            <v>VAR_fin</v>
          </cell>
          <cell r="C626" t="str">
            <v>ITOTLTHDHC</v>
          </cell>
          <cell r="H626">
            <v>7.1660380905458121</v>
          </cell>
          <cell r="I626">
            <v>7.2036071251881797</v>
          </cell>
          <cell r="J626">
            <v>7.9393972902528303</v>
          </cell>
        </row>
        <row r="627">
          <cell r="A627" t="str">
            <v>ITOT-SWHLTHDH</v>
          </cell>
          <cell r="B627" t="str">
            <v>VAR_ncap</v>
          </cell>
          <cell r="C627" t="str">
            <v>-</v>
          </cell>
          <cell r="H627">
            <v>0.25601655668652401</v>
          </cell>
          <cell r="I627">
            <v>0.31646187653156199</v>
          </cell>
          <cell r="J627">
            <v>0.50392795529085499</v>
          </cell>
        </row>
        <row r="628">
          <cell r="A628" t="str">
            <v>ITOT-SWHLTHDH</v>
          </cell>
          <cell r="B628" t="str">
            <v>VAR_cap</v>
          </cell>
          <cell r="C628" t="str">
            <v>-</v>
          </cell>
          <cell r="H628">
            <v>0.53613868418534194</v>
          </cell>
          <cell r="I628">
            <v>0.58098547103819498</v>
          </cell>
          <cell r="J628">
            <v>0.77803875983839699</v>
          </cell>
        </row>
        <row r="629">
          <cell r="A629" t="str">
            <v>RHES-SHCONBR2</v>
          </cell>
          <cell r="B629" t="str">
            <v>VAR_fout</v>
          </cell>
          <cell r="C629" t="str">
            <v>RHES-SHCON</v>
          </cell>
          <cell r="H629">
            <v>1.4196744908021932</v>
          </cell>
          <cell r="I629">
            <v>2.9190768765635333</v>
          </cell>
          <cell r="J629">
            <v>4.6681001825039194</v>
          </cell>
        </row>
        <row r="630">
          <cell r="A630" t="str">
            <v>RHES-SHCONBR2</v>
          </cell>
          <cell r="B630" t="str">
            <v>VAR_fin</v>
          </cell>
          <cell r="C630" t="str">
            <v>CON</v>
          </cell>
          <cell r="H630">
            <v>1.4196744908021932</v>
          </cell>
          <cell r="I630">
            <v>2.9190768765635333</v>
          </cell>
          <cell r="J630">
            <v>4.6681001825039194</v>
          </cell>
        </row>
        <row r="631">
          <cell r="A631" t="str">
            <v>RHES-SHCONBR2</v>
          </cell>
          <cell r="B631" t="str">
            <v>VAR_ncap</v>
          </cell>
          <cell r="C631" t="str">
            <v>-</v>
          </cell>
          <cell r="H631">
            <v>4.8236218889866699E-2</v>
          </cell>
          <cell r="I631">
            <v>0.12112641650304901</v>
          </cell>
          <cell r="J631">
            <v>0.17179709554046399</v>
          </cell>
        </row>
        <row r="632">
          <cell r="A632" t="str">
            <v>RHES-SHCONBR2</v>
          </cell>
          <cell r="B632" t="str">
            <v>VAR_cap</v>
          </cell>
          <cell r="C632" t="str">
            <v>-</v>
          </cell>
          <cell r="H632">
            <v>0.11472542498030368</v>
          </cell>
          <cell r="I632">
            <v>0.23585206811521336</v>
          </cell>
          <cell r="J632">
            <v>0.37713829650703468</v>
          </cell>
        </row>
        <row r="633">
          <cell r="A633" t="str">
            <v>ITOT-SWHCONBR4</v>
          </cell>
          <cell r="B633" t="str">
            <v>VAR_fout</v>
          </cell>
          <cell r="C633" t="str">
            <v>ITOT-ELS</v>
          </cell>
          <cell r="H633">
            <v>1.7690402046695119E-4</v>
          </cell>
          <cell r="I633">
            <v>4.9323223655091016E-3</v>
          </cell>
          <cell r="J633">
            <v>4.9320650032159182E-3</v>
          </cell>
        </row>
        <row r="634">
          <cell r="A634" t="str">
            <v>ITOT-SWHCONBR4</v>
          </cell>
          <cell r="B634" t="str">
            <v>VAR_fout</v>
          </cell>
          <cell r="C634" t="str">
            <v>ITOT-SWHC</v>
          </cell>
          <cell r="H634">
            <v>1.9011058551220391E-3</v>
          </cell>
          <cell r="I634">
            <v>5.3005391871071186E-2</v>
          </cell>
          <cell r="J634">
            <v>5.3002626117295969E-2</v>
          </cell>
        </row>
        <row r="635">
          <cell r="A635" t="str">
            <v>ITOT-SWHCONBR4</v>
          </cell>
          <cell r="B635" t="str">
            <v>VAR_fin</v>
          </cell>
          <cell r="C635" t="str">
            <v>CON</v>
          </cell>
          <cell r="H635">
            <v>2.0780098755889902E-3</v>
          </cell>
          <cell r="I635">
            <v>5.793771423658025E-2</v>
          </cell>
          <cell r="J635">
            <v>5.7934691120511903E-2</v>
          </cell>
        </row>
        <row r="636">
          <cell r="A636" t="str">
            <v>ITOT-SWHCONBR4</v>
          </cell>
          <cell r="B636" t="str">
            <v>VAR_ncap</v>
          </cell>
          <cell r="C636" t="str">
            <v>-</v>
          </cell>
          <cell r="H636">
            <v>1.0864845072269299E-4</v>
          </cell>
          <cell r="I636">
            <v>3.0405782563814798E-3</v>
          </cell>
          <cell r="J636">
            <v>8.9717655231568902E-4</v>
          </cell>
        </row>
        <row r="637">
          <cell r="A637" t="str">
            <v>ITOT-SWHCONBR4</v>
          </cell>
          <cell r="B637" t="str">
            <v>VAR_cap</v>
          </cell>
          <cell r="C637" t="str">
            <v>-</v>
          </cell>
          <cell r="H637">
            <v>1.0864845072269299E-4</v>
          </cell>
          <cell r="I637">
            <v>3.1492267071041701E-3</v>
          </cell>
          <cell r="J637">
            <v>3.1497838384718E-3</v>
          </cell>
        </row>
        <row r="638">
          <cell r="A638" t="str">
            <v>D-ITOT_NKEV_GAS_ELC_CHP</v>
          </cell>
          <cell r="B638" t="str">
            <v>VAR_fout</v>
          </cell>
          <cell r="C638" t="str">
            <v>ITOT_ELC</v>
          </cell>
          <cell r="H638">
            <v>0.66319502707598721</v>
          </cell>
          <cell r="I638">
            <v>0.14839640936818549</v>
          </cell>
          <cell r="J638">
            <v>0.65178046912821885</v>
          </cell>
        </row>
        <row r="639">
          <cell r="A639" t="str">
            <v>D-ITOT_NKEV_GAS_ELC_CHP</v>
          </cell>
          <cell r="B639" t="str">
            <v>VAR_fout</v>
          </cell>
          <cell r="C639" t="str">
            <v>ELC5</v>
          </cell>
          <cell r="H639">
            <v>6.8207213383951939E-3</v>
          </cell>
          <cell r="I639">
            <v>2.0738719525048233E-2</v>
          </cell>
          <cell r="J639">
            <v>1.8220526435150798E-2</v>
          </cell>
        </row>
        <row r="640">
          <cell r="A640" t="str">
            <v>D-ITOT_NKEV_GAS_ELC_CHP</v>
          </cell>
          <cell r="B640" t="str">
            <v>VAR_fin</v>
          </cell>
          <cell r="C640" t="str">
            <v>ITOT_NKEV_GAS_ELC_CHP</v>
          </cell>
          <cell r="H640">
            <v>0.67001574841438161</v>
          </cell>
          <cell r="I640">
            <v>0.16913512889323357</v>
          </cell>
          <cell r="J640">
            <v>0.67000099556336967</v>
          </cell>
        </row>
        <row r="641">
          <cell r="A641" t="str">
            <v>SCOM-SHELCBR</v>
          </cell>
          <cell r="B641" t="str">
            <v>VAR_fout</v>
          </cell>
          <cell r="C641" t="str">
            <v>SCOM-SHAELCB</v>
          </cell>
          <cell r="H641">
            <v>0.26849301173457268</v>
          </cell>
          <cell r="I641">
            <v>0.2244413543293387</v>
          </cell>
          <cell r="J641">
            <v>0.16882272170943693</v>
          </cell>
        </row>
        <row r="642">
          <cell r="A642" t="str">
            <v>SCOM-SHELCBR</v>
          </cell>
          <cell r="B642" t="str">
            <v>VAR_fin</v>
          </cell>
          <cell r="C642" t="str">
            <v>SCOM_ELC</v>
          </cell>
          <cell r="H642">
            <v>0.53607972801063652</v>
          </cell>
          <cell r="I642">
            <v>0.44159065397967062</v>
          </cell>
          <cell r="J642">
            <v>0.31827734022282117</v>
          </cell>
        </row>
        <row r="643">
          <cell r="A643" t="str">
            <v>SCOM-SHELCBR</v>
          </cell>
          <cell r="B643" t="str">
            <v>VAR_ncap</v>
          </cell>
          <cell r="C643" t="str">
            <v>-</v>
          </cell>
          <cell r="H643">
            <v>2.43125280092156E-2</v>
          </cell>
          <cell r="I643">
            <v>5.4179211593839401E-4</v>
          </cell>
          <cell r="J643">
            <v>7.4516434787840801E-3</v>
          </cell>
        </row>
        <row r="644">
          <cell r="A644" t="str">
            <v>SCOM-SHELCBR</v>
          </cell>
          <cell r="B644" t="str">
            <v>VAR_cap</v>
          </cell>
          <cell r="C644" t="str">
            <v>-</v>
          </cell>
          <cell r="H644">
            <v>3.4145228077626995E-2</v>
          </cell>
          <cell r="I644">
            <v>2.4852014132154109E-2</v>
          </cell>
          <cell r="J644">
            <v>1.8125280584476808E-2</v>
          </cell>
        </row>
        <row r="645">
          <cell r="A645" t="str">
            <v>RHES-SHCONBR3</v>
          </cell>
          <cell r="B645" t="str">
            <v>VAR_fout</v>
          </cell>
          <cell r="C645" t="str">
            <v>RHES-SHCON</v>
          </cell>
          <cell r="H645">
            <v>0.68756908360626912</v>
          </cell>
          <cell r="I645">
            <v>0.68765143141268048</v>
          </cell>
          <cell r="J645">
            <v>2.0333645128011484</v>
          </cell>
        </row>
        <row r="646">
          <cell r="A646" t="str">
            <v>RHES-SHCONBR3</v>
          </cell>
          <cell r="B646" t="str">
            <v>VAR_fin</v>
          </cell>
          <cell r="C646" t="str">
            <v>CON</v>
          </cell>
          <cell r="H646">
            <v>0.68756908360626912</v>
          </cell>
          <cell r="I646">
            <v>0.68765143141268048</v>
          </cell>
          <cell r="J646">
            <v>2.0333645128011484</v>
          </cell>
        </row>
        <row r="647">
          <cell r="A647" t="str">
            <v>RHES-SHCONBR3</v>
          </cell>
          <cell r="B647" t="str">
            <v>VAR_ncap</v>
          </cell>
          <cell r="C647" t="str">
            <v>-</v>
          </cell>
          <cell r="H647">
            <v>1.98460106034572E-7</v>
          </cell>
          <cell r="I647">
            <v>1.9582575140464799E-7</v>
          </cell>
          <cell r="J647">
            <v>0.13220858998444801</v>
          </cell>
        </row>
        <row r="648">
          <cell r="A648" t="str">
            <v>RHES-SHCONBR3</v>
          </cell>
          <cell r="B648" t="str">
            <v>VAR_cap</v>
          </cell>
          <cell r="C648" t="str">
            <v>-</v>
          </cell>
          <cell r="H648">
            <v>5.5576436815449042E-2</v>
          </cell>
          <cell r="I648">
            <v>5.5576854998289509E-2</v>
          </cell>
          <cell r="J648">
            <v>0.16427496637606034</v>
          </cell>
        </row>
        <row r="649">
          <cell r="A649" t="str">
            <v>ITOT-SWHCONBR5</v>
          </cell>
          <cell r="B649" t="str">
            <v>VAR_fout</v>
          </cell>
          <cell r="C649" t="str">
            <v>ITOT-ELS</v>
          </cell>
          <cell r="H649">
            <v>2.9283842511556972E-4</v>
          </cell>
          <cell r="I649">
            <v>0.39322279524720416</v>
          </cell>
          <cell r="J649">
            <v>0.39322199017945969</v>
          </cell>
        </row>
        <row r="650">
          <cell r="A650" t="str">
            <v>ITOT-SWHCONBR5</v>
          </cell>
          <cell r="B650" t="str">
            <v>VAR_fout</v>
          </cell>
          <cell r="C650" t="str">
            <v>ITOT-SWHC</v>
          </cell>
          <cell r="H650">
            <v>1.4363363031283727E-3</v>
          </cell>
          <cell r="I650">
            <v>1.9287092389199769</v>
          </cell>
          <cell r="J650">
            <v>1.9287052901621302</v>
          </cell>
        </row>
        <row r="651">
          <cell r="A651" t="str">
            <v>ITOT-SWHCONBR5</v>
          </cell>
          <cell r="B651" t="str">
            <v>VAR_fin</v>
          </cell>
          <cell r="C651" t="str">
            <v>CON</v>
          </cell>
          <cell r="H651">
            <v>1.7291747282439432E-3</v>
          </cell>
          <cell r="I651">
            <v>2.3219320341671814</v>
          </cell>
          <cell r="J651">
            <v>2.3219272803415913</v>
          </cell>
        </row>
        <row r="652">
          <cell r="A652" t="str">
            <v>ITOT-SWHCONBR5</v>
          </cell>
          <cell r="B652" t="str">
            <v>VAR_ncap</v>
          </cell>
          <cell r="C652" t="str">
            <v>-</v>
          </cell>
          <cell r="H652">
            <v>9.0274970115560498E-5</v>
          </cell>
          <cell r="I652">
            <v>0.12620507927469199</v>
          </cell>
          <cell r="J652">
            <v>3.4667053255991703E-2</v>
          </cell>
        </row>
        <row r="653">
          <cell r="A653" t="str">
            <v>ITOT-SWHCONBR5</v>
          </cell>
          <cell r="B653" t="str">
            <v>VAR_cap</v>
          </cell>
          <cell r="C653" t="str">
            <v>-</v>
          </cell>
          <cell r="H653">
            <v>9.0274970115560498E-5</v>
          </cell>
          <cell r="I653">
            <v>0.12629535424480801</v>
          </cell>
          <cell r="J653">
            <v>0.12629649599853901</v>
          </cell>
        </row>
        <row r="654">
          <cell r="A654" t="str">
            <v>RHES-SHSTG-ELC</v>
          </cell>
          <cell r="B654" t="str">
            <v>VAR_fout</v>
          </cell>
          <cell r="C654" t="str">
            <v>RHES-SHAELCB</v>
          </cell>
          <cell r="H654">
            <v>1.0185691950556548E-3</v>
          </cell>
          <cell r="I654">
            <v>3.6702368454645686E-4</v>
          </cell>
          <cell r="J654">
            <v>2.6271283968437662E-4</v>
          </cell>
        </row>
        <row r="655">
          <cell r="A655" t="str">
            <v>RHES-SHSTG-ELC</v>
          </cell>
          <cell r="B655" t="str">
            <v>VAR_fout</v>
          </cell>
          <cell r="C655" t="str">
            <v>AUX_RHES-SHSTG-ELC_OUT</v>
          </cell>
          <cell r="H655">
            <v>1.0195877642507106E-3</v>
          </cell>
          <cell r="I655">
            <v>3.6739070823100329E-4</v>
          </cell>
          <cell r="J655">
            <v>2.6297555252406083E-4</v>
          </cell>
        </row>
        <row r="656">
          <cell r="A656" t="str">
            <v>RHES-SHSTG-ELC</v>
          </cell>
          <cell r="B656" t="str">
            <v>VAR_fin</v>
          </cell>
          <cell r="C656" t="str">
            <v>RHES-SHAELCB</v>
          </cell>
          <cell r="H656">
            <v>1.0205136604688372E-3</v>
          </cell>
          <cell r="I656">
            <v>3.6937019253314643E-4</v>
          </cell>
          <cell r="J656">
            <v>2.6437892032311455E-4</v>
          </cell>
        </row>
        <row r="657">
          <cell r="A657" t="str">
            <v>RHES-SHSTG-ELC</v>
          </cell>
          <cell r="B657" t="str">
            <v>VAR_ncap</v>
          </cell>
          <cell r="C657" t="str">
            <v>-</v>
          </cell>
          <cell r="H657">
            <v>4.5993503472112699E-5</v>
          </cell>
          <cell r="I657">
            <v>5.5421249856076099E-5</v>
          </cell>
          <cell r="J657">
            <v>2.7333832006573799E-5</v>
          </cell>
        </row>
        <row r="658">
          <cell r="A658" t="str">
            <v>RHES-SHSTG-ELC</v>
          </cell>
          <cell r="B658" t="str">
            <v>VAR_cap</v>
          </cell>
          <cell r="C658" t="str">
            <v>-</v>
          </cell>
          <cell r="H658">
            <v>3.5124076607720087E-4</v>
          </cell>
          <cell r="I658">
            <v>6.5629221901764397E-5</v>
          </cell>
          <cell r="J658">
            <v>4.6573713986094202E-5</v>
          </cell>
        </row>
        <row r="659">
          <cell r="A659" t="str">
            <v>RHES-SHCONBR4</v>
          </cell>
          <cell r="B659" t="str">
            <v>VAR_fout</v>
          </cell>
          <cell r="C659" t="str">
            <v>RHES-SHCON</v>
          </cell>
          <cell r="H659">
            <v>0.4263254146367913</v>
          </cell>
          <cell r="I659">
            <v>0.42640995490382227</v>
          </cell>
          <cell r="J659">
            <v>0.24662805204638355</v>
          </cell>
        </row>
        <row r="660">
          <cell r="A660" t="str">
            <v>RHES-SHCONBR4</v>
          </cell>
          <cell r="B660" t="str">
            <v>VAR_fin</v>
          </cell>
          <cell r="C660" t="str">
            <v>CON</v>
          </cell>
          <cell r="H660">
            <v>0.4263254146367913</v>
          </cell>
          <cell r="I660">
            <v>0.42640995490382227</v>
          </cell>
          <cell r="J660">
            <v>0.24662805204638355</v>
          </cell>
        </row>
        <row r="661">
          <cell r="A661" t="str">
            <v>RHES-SHCONBR4</v>
          </cell>
          <cell r="B661" t="str">
            <v>VAR_ncap</v>
          </cell>
          <cell r="C661" t="str">
            <v>-</v>
          </cell>
          <cell r="H661">
            <v>1.2032287887463099E-7</v>
          </cell>
          <cell r="I661">
            <v>9.5406306981944503E-8</v>
          </cell>
          <cell r="J661">
            <v>5.4444970526681498E-7</v>
          </cell>
        </row>
        <row r="662">
          <cell r="A662" t="str">
            <v>RHES-SHCONBR4</v>
          </cell>
          <cell r="B662" t="str">
            <v>VAR_cap</v>
          </cell>
          <cell r="C662" t="str">
            <v>-</v>
          </cell>
          <cell r="H662">
            <v>3.4470761061706781E-2</v>
          </cell>
          <cell r="I662">
            <v>3.4470926443496711E-2</v>
          </cell>
          <cell r="J662">
            <v>1.9928418599800355E-2</v>
          </cell>
        </row>
        <row r="663">
          <cell r="A663" t="str">
            <v>ITOT-SWHCONBR6</v>
          </cell>
          <cell r="B663" t="str">
            <v>VAR_fout</v>
          </cell>
          <cell r="C663" t="str">
            <v>ITOT-SWHC</v>
          </cell>
          <cell r="I663">
            <v>1.4216814012223027E-3</v>
          </cell>
          <cell r="J663">
            <v>1.4166340177472218E-3</v>
          </cell>
        </row>
        <row r="664">
          <cell r="A664" t="str">
            <v>ITOT-SWHCONBR6</v>
          </cell>
          <cell r="B664" t="str">
            <v>VAR_fin</v>
          </cell>
          <cell r="C664" t="str">
            <v>CON</v>
          </cell>
          <cell r="I664">
            <v>1.4216814012223027E-3</v>
          </cell>
          <cell r="J664">
            <v>1.4166340177472218E-3</v>
          </cell>
        </row>
        <row r="665">
          <cell r="A665" t="str">
            <v>ITOT-SWHCONBR6</v>
          </cell>
          <cell r="B665" t="str">
            <v>VAR_ncap</v>
          </cell>
          <cell r="C665" t="str">
            <v>-</v>
          </cell>
          <cell r="I665">
            <v>7.4707081156909699E-5</v>
          </cell>
          <cell r="J665">
            <v>2.0793293751165501E-5</v>
          </cell>
        </row>
        <row r="666">
          <cell r="A666" t="str">
            <v>ITOT-SWHCONBR6</v>
          </cell>
          <cell r="B666" t="str">
            <v>VAR_cap</v>
          </cell>
          <cell r="C666" t="str">
            <v>-</v>
          </cell>
          <cell r="I666">
            <v>7.4707081156909699E-5</v>
          </cell>
          <cell r="J666">
            <v>7.5010727017639994E-5</v>
          </cell>
        </row>
        <row r="667">
          <cell r="A667" t="str">
            <v>RHNM-SHNGAHP</v>
          </cell>
          <cell r="B667" t="str">
            <v>VAR_fout</v>
          </cell>
          <cell r="C667" t="str">
            <v>CO2_R</v>
          </cell>
          <cell r="H667">
            <v>35.847533860991597</v>
          </cell>
          <cell r="I667">
            <v>42.667590099272999</v>
          </cell>
          <cell r="J667">
            <v>45.787167430761798</v>
          </cell>
        </row>
        <row r="668">
          <cell r="A668" t="str">
            <v>RHNM-SHNGAHP</v>
          </cell>
          <cell r="B668" t="str">
            <v>VAR_fout</v>
          </cell>
          <cell r="C668" t="str">
            <v>RHNM-SHANGAH</v>
          </cell>
          <cell r="H668">
            <v>1.2954239690404732</v>
          </cell>
          <cell r="I668">
            <v>1.5593491423777686</v>
          </cell>
          <cell r="J668">
            <v>1.7168538131793063</v>
          </cell>
        </row>
        <row r="669">
          <cell r="A669" t="str">
            <v>RHNM-SHNGAHP</v>
          </cell>
          <cell r="B669" t="str">
            <v>VAR_fin</v>
          </cell>
          <cell r="C669" t="str">
            <v>RNGA</v>
          </cell>
          <cell r="H669">
            <v>0.63559457200339786</v>
          </cell>
          <cell r="I669">
            <v>0.75651755495164985</v>
          </cell>
          <cell r="J669">
            <v>0.81182920976528083</v>
          </cell>
        </row>
        <row r="670">
          <cell r="A670" t="str">
            <v>RHNM-SHNGAHP</v>
          </cell>
          <cell r="B670" t="str">
            <v>VAR_fin</v>
          </cell>
          <cell r="C670" t="str">
            <v>RHNMELCHPC</v>
          </cell>
          <cell r="H670">
            <v>1.2954239690404732</v>
          </cell>
          <cell r="I670">
            <v>1.5593491423777686</v>
          </cell>
          <cell r="J670">
            <v>1.7168538131793063</v>
          </cell>
        </row>
        <row r="671">
          <cell r="A671" t="str">
            <v>RHNM-SHNGAHP</v>
          </cell>
          <cell r="B671" t="str">
            <v>VAR_ncap</v>
          </cell>
          <cell r="C671" t="str">
            <v>-</v>
          </cell>
          <cell r="H671">
            <v>4.5918158509696202E-2</v>
          </cell>
          <cell r="I671">
            <v>4.8957557814980603E-2</v>
          </cell>
          <cell r="J671">
            <v>7.9706101948245803E-2</v>
          </cell>
        </row>
        <row r="672">
          <cell r="A672" t="str">
            <v>RHNM-SHNGAHP</v>
          </cell>
          <cell r="B672" t="str">
            <v>VAR_cap</v>
          </cell>
          <cell r="C672" t="str">
            <v>-</v>
          </cell>
          <cell r="H672">
            <v>0.10066736404895428</v>
          </cell>
          <cell r="I672">
            <v>0.12168978030910374</v>
          </cell>
          <cell r="J672">
            <v>0.13465895473228925</v>
          </cell>
        </row>
        <row r="673">
          <cell r="A673" t="str">
            <v>D-SCOM_KEV_WOD_ELC_CHP</v>
          </cell>
          <cell r="B673" t="str">
            <v>VAR_fout</v>
          </cell>
          <cell r="C673" t="str">
            <v>ELC5</v>
          </cell>
          <cell r="H673">
            <v>1.0500690703687979E-3</v>
          </cell>
          <cell r="I673">
            <v>7.3312173721093823E-4</v>
          </cell>
          <cell r="J673">
            <v>3.1088852790577025E-4</v>
          </cell>
        </row>
        <row r="674">
          <cell r="A674" t="str">
            <v>D-SCOM_KEV_WOD_ELC_CHP</v>
          </cell>
          <cell r="B674" t="str">
            <v>VAR_fout</v>
          </cell>
          <cell r="C674" t="str">
            <v>SCOM_ELC</v>
          </cell>
          <cell r="H674">
            <v>1.8617877850217205E-3</v>
          </cell>
          <cell r="I674">
            <v>1.1069672577962222E-3</v>
          </cell>
          <cell r="J674">
            <v>4.0580635632063601E-4</v>
          </cell>
        </row>
        <row r="675">
          <cell r="A675" t="str">
            <v>D-SCOM_KEV_WOD_ELC_CHP</v>
          </cell>
          <cell r="B675" t="str">
            <v>VAR_fin</v>
          </cell>
          <cell r="C675" t="str">
            <v>SCOM_KEV_WOD_ELC_CHP</v>
          </cell>
          <cell r="H675">
            <v>2.8632132819830904E-3</v>
          </cell>
          <cell r="I675">
            <v>1.7994591366708732E-3</v>
          </cell>
          <cell r="J675">
            <v>6.843722599563526E-4</v>
          </cell>
        </row>
        <row r="676">
          <cell r="A676" t="str">
            <v>RHES-SHCONBR5</v>
          </cell>
          <cell r="B676" t="str">
            <v>VAR_fout</v>
          </cell>
          <cell r="C676" t="str">
            <v>RHES-SHCON</v>
          </cell>
          <cell r="H676">
            <v>1.1739758155706491E-3</v>
          </cell>
          <cell r="I676">
            <v>1.2205275518568017E-3</v>
          </cell>
          <cell r="J676">
            <v>7.5919325517579664E-4</v>
          </cell>
        </row>
        <row r="677">
          <cell r="A677" t="str">
            <v>RHES-SHCONBR5</v>
          </cell>
          <cell r="B677" t="str">
            <v>VAR_fin</v>
          </cell>
          <cell r="C677" t="str">
            <v>CON</v>
          </cell>
          <cell r="H677">
            <v>1.1739758155706491E-3</v>
          </cell>
          <cell r="I677">
            <v>1.2205275518568017E-3</v>
          </cell>
          <cell r="J677">
            <v>7.5919325517579664E-4</v>
          </cell>
        </row>
        <row r="678">
          <cell r="A678" t="str">
            <v>RHES-SHCONBR5</v>
          </cell>
          <cell r="B678" t="str">
            <v>VAR_ncap</v>
          </cell>
          <cell r="C678" t="str">
            <v>-</v>
          </cell>
          <cell r="H678">
            <v>8.0552783275790103E-8</v>
          </cell>
          <cell r="I678">
            <v>6.5815322172794299E-8</v>
          </cell>
          <cell r="J678">
            <v>1.8181399012872501E-7</v>
          </cell>
        </row>
        <row r="679">
          <cell r="A679" t="str">
            <v>RHES-SHCONBR5</v>
          </cell>
          <cell r="B679" t="str">
            <v>VAR_cap</v>
          </cell>
          <cell r="C679" t="str">
            <v>-</v>
          </cell>
          <cell r="H679">
            <v>1.0736456438915871E-4</v>
          </cell>
          <cell r="I679">
            <v>1.0743888679387113E-4</v>
          </cell>
          <cell r="J679">
            <v>6.2438368197766168E-5</v>
          </cell>
        </row>
        <row r="680">
          <cell r="A680" t="str">
            <v>RHNS-SHCONBR</v>
          </cell>
          <cell r="B680" t="str">
            <v>VAR_fout</v>
          </cell>
          <cell r="C680" t="str">
            <v>RHNS-SHCON</v>
          </cell>
          <cell r="H680">
            <v>3.2205013750917053E-3</v>
          </cell>
          <cell r="I680">
            <v>1.1316004993685416E-2</v>
          </cell>
          <cell r="J680">
            <v>1.1302422151100437E-2</v>
          </cell>
        </row>
        <row r="681">
          <cell r="A681" t="str">
            <v>RHNS-SHCONBR</v>
          </cell>
          <cell r="B681" t="str">
            <v>VAR_fin</v>
          </cell>
          <cell r="C681" t="str">
            <v>CON</v>
          </cell>
          <cell r="H681">
            <v>3.2205013750917053E-3</v>
          </cell>
          <cell r="I681">
            <v>1.1316004993685416E-2</v>
          </cell>
          <cell r="J681">
            <v>1.1302422151100437E-2</v>
          </cell>
        </row>
        <row r="682">
          <cell r="A682" t="str">
            <v>RHNS-SHCONBR</v>
          </cell>
          <cell r="B682" t="str">
            <v>VAR_ncap</v>
          </cell>
          <cell r="C682" t="str">
            <v>-</v>
          </cell>
          <cell r="H682">
            <v>5.4696208539026901E-5</v>
          </cell>
          <cell r="I682">
            <v>5.8892676301846702E-4</v>
          </cell>
          <cell r="J682">
            <v>5.0257598249953903E-7</v>
          </cell>
        </row>
        <row r="683">
          <cell r="A683" t="str">
            <v>RHNS-SHCONBR</v>
          </cell>
          <cell r="B683" t="str">
            <v>VAR_cap</v>
          </cell>
          <cell r="C683" t="str">
            <v>-</v>
          </cell>
          <cell r="H683">
            <v>2.3181480485413779E-4</v>
          </cell>
          <cell r="I683">
            <v>8.2073650715605714E-4</v>
          </cell>
          <cell r="J683">
            <v>8.2134077992216694E-4</v>
          </cell>
        </row>
        <row r="684">
          <cell r="A684" t="str">
            <v>D-RHEM_SOLELC</v>
          </cell>
          <cell r="B684" t="str">
            <v>VAR_fout</v>
          </cell>
          <cell r="C684" t="str">
            <v>ELC5</v>
          </cell>
          <cell r="H684">
            <v>2.0234636665456508E-3</v>
          </cell>
          <cell r="I684">
            <v>0.37288381520198693</v>
          </cell>
          <cell r="J684">
            <v>0.29004698877973512</v>
          </cell>
        </row>
        <row r="685">
          <cell r="A685" t="str">
            <v>D-RHEM_SOLELC</v>
          </cell>
          <cell r="B685" t="str">
            <v>VAR_fout</v>
          </cell>
          <cell r="C685" t="str">
            <v>RHEM_ELC</v>
          </cell>
          <cell r="H685">
            <v>1.7462640052916609</v>
          </cell>
          <cell r="I685">
            <v>14.139810234255124</v>
          </cell>
          <cell r="J685">
            <v>15.19182163884536</v>
          </cell>
        </row>
        <row r="686">
          <cell r="A686" t="str">
            <v>D-RHEM_SOLELC</v>
          </cell>
          <cell r="B686" t="str">
            <v>VAR_fin</v>
          </cell>
          <cell r="C686" t="str">
            <v>RHEM_SOL_ELC</v>
          </cell>
          <cell r="H686">
            <v>1.7482874689582077</v>
          </cell>
          <cell r="I686">
            <v>14.512694049457105</v>
          </cell>
          <cell r="J686">
            <v>15.481868627625088</v>
          </cell>
        </row>
        <row r="687">
          <cell r="A687" t="str">
            <v>ITOT-SWHCONBR7</v>
          </cell>
          <cell r="B687" t="str">
            <v>VAR_fout</v>
          </cell>
          <cell r="C687" t="str">
            <v>ITOT-ELS</v>
          </cell>
          <cell r="J687">
            <v>0.40449809306931273</v>
          </cell>
        </row>
        <row r="688">
          <cell r="A688" t="str">
            <v>ITOT-SWHCONBR7</v>
          </cell>
          <cell r="B688" t="str">
            <v>VAR_fout</v>
          </cell>
          <cell r="C688" t="str">
            <v>ITOT-SWHC</v>
          </cell>
          <cell r="J688">
            <v>7.0535427356334418E-2</v>
          </cell>
        </row>
        <row r="689">
          <cell r="A689" t="str">
            <v>ITOT-SWHCONBR7</v>
          </cell>
          <cell r="B689" t="str">
            <v>VAR_fin</v>
          </cell>
          <cell r="C689" t="str">
            <v>CON</v>
          </cell>
          <cell r="J689">
            <v>0.47503352042564717</v>
          </cell>
        </row>
        <row r="690">
          <cell r="A690" t="str">
            <v>ITOT-SWHCONBR7</v>
          </cell>
          <cell r="B690" t="str">
            <v>VAR_ncap</v>
          </cell>
          <cell r="C690" t="str">
            <v>-</v>
          </cell>
          <cell r="J690">
            <v>2.5836876784162299E-2</v>
          </cell>
        </row>
        <row r="691">
          <cell r="A691" t="str">
            <v>ITOT-SWHCONBR7</v>
          </cell>
          <cell r="B691" t="str">
            <v>VAR_cap</v>
          </cell>
          <cell r="C691" t="str">
            <v>-</v>
          </cell>
          <cell r="J691">
            <v>2.5836876784162299E-2</v>
          </cell>
        </row>
        <row r="692">
          <cell r="A692" t="str">
            <v>RHNS-SHSTG-ELCHP</v>
          </cell>
          <cell r="B692" t="str">
            <v>VAR_fout</v>
          </cell>
          <cell r="C692" t="str">
            <v>RHNS-SHAELCH</v>
          </cell>
          <cell r="H692">
            <v>0.32167217620045985</v>
          </cell>
          <cell r="I692">
            <v>0.37188814031609596</v>
          </cell>
          <cell r="J692">
            <v>0.39981397611713654</v>
          </cell>
        </row>
        <row r="693">
          <cell r="A693" t="str">
            <v>RHNS-SHSTG-ELCHP</v>
          </cell>
          <cell r="B693" t="str">
            <v>VAR_fout</v>
          </cell>
          <cell r="C693" t="str">
            <v>AUX_RHNS-SHSTG-ELCHP_OUT</v>
          </cell>
          <cell r="H693">
            <v>0.32199384837666029</v>
          </cell>
          <cell r="I693">
            <v>0.37226002845641165</v>
          </cell>
          <cell r="J693">
            <v>0.40021379009325359</v>
          </cell>
        </row>
        <row r="694">
          <cell r="A694" t="str">
            <v>RHNS-SHSTG-ELCHP</v>
          </cell>
          <cell r="B694" t="str">
            <v>VAR_fin</v>
          </cell>
          <cell r="C694" t="str">
            <v>RHNS-SHAELCH</v>
          </cell>
          <cell r="H694">
            <v>0.32168545673699872</v>
          </cell>
          <cell r="I694">
            <v>0.37190366218618909</v>
          </cell>
          <cell r="J694">
            <v>0.39982956159653654</v>
          </cell>
        </row>
        <row r="695">
          <cell r="A695" t="str">
            <v>RHNS-SHSTG-ELCHP</v>
          </cell>
          <cell r="B695" t="str">
            <v>VAR_ncap</v>
          </cell>
          <cell r="C695" t="str">
            <v>-</v>
          </cell>
          <cell r="H695">
            <v>1.44980844299434E-2</v>
          </cell>
          <cell r="I695">
            <v>1.9836050438345899E-2</v>
          </cell>
          <cell r="J695">
            <v>2.74806061160245E-2</v>
          </cell>
        </row>
        <row r="696">
          <cell r="A696" t="str">
            <v>RHNS-SHSTG-ELCHP</v>
          </cell>
          <cell r="B696" t="str">
            <v>VAR_cap</v>
          </cell>
          <cell r="C696" t="str">
            <v>-</v>
          </cell>
          <cell r="H696">
            <v>3.5990291873176782E-2</v>
          </cell>
          <cell r="I696">
            <v>4.1962803052435743E-2</v>
          </cell>
          <cell r="J696">
            <v>4.7935692552017073E-2</v>
          </cell>
        </row>
        <row r="697">
          <cell r="A697" t="str">
            <v>RHNS-SHSOLBR</v>
          </cell>
          <cell r="B697" t="str">
            <v>VAR_fout</v>
          </cell>
          <cell r="C697" t="str">
            <v>RHNS-SHASOL</v>
          </cell>
          <cell r="H697">
            <v>2.900624009520784E-4</v>
          </cell>
          <cell r="I697">
            <v>3.1187261605590148E-4</v>
          </cell>
          <cell r="J697">
            <v>5.8601205278104853E-4</v>
          </cell>
        </row>
        <row r="698">
          <cell r="A698" t="str">
            <v>RHNS-SHSOLBR</v>
          </cell>
          <cell r="B698" t="str">
            <v>VAR_fin</v>
          </cell>
          <cell r="C698" t="str">
            <v>SOL</v>
          </cell>
          <cell r="H698">
            <v>2.900624009520784E-4</v>
          </cell>
          <cell r="I698">
            <v>3.1187261605590148E-4</v>
          </cell>
          <cell r="J698">
            <v>5.8601205278104853E-4</v>
          </cell>
        </row>
        <row r="699">
          <cell r="A699" t="str">
            <v>RHNS-SHSOLBR</v>
          </cell>
          <cell r="B699" t="str">
            <v>VAR_ncap</v>
          </cell>
          <cell r="C699" t="str">
            <v>-</v>
          </cell>
          <cell r="H699">
            <v>1.4595074329353501E-4</v>
          </cell>
          <cell r="I699">
            <v>1.05093694883222E-4</v>
          </cell>
          <cell r="J699">
            <v>8.5954106974201304E-5</v>
          </cell>
        </row>
        <row r="700">
          <cell r="A700" t="str">
            <v>RHNS-SHSOLBR</v>
          </cell>
          <cell r="B700" t="str">
            <v>VAR_cap</v>
          </cell>
          <cell r="C700" t="str">
            <v>-</v>
          </cell>
          <cell r="H700">
            <v>1.1163355196314377E-3</v>
          </cell>
          <cell r="I700">
            <v>2.7147649971677495E-4</v>
          </cell>
          <cell r="J700">
            <v>2.2351403564747921E-4</v>
          </cell>
        </row>
        <row r="701">
          <cell r="A701" t="str">
            <v>RHES-SHPLTBR</v>
          </cell>
          <cell r="B701" t="str">
            <v>VAR_fout</v>
          </cell>
          <cell r="C701" t="str">
            <v>RHES-SHPLT</v>
          </cell>
          <cell r="H701">
            <v>4.3816060846720718E-2</v>
          </cell>
          <cell r="I701">
            <v>4.8170991392360474E-2</v>
          </cell>
          <cell r="J701">
            <v>4.4572303656352015E-2</v>
          </cell>
        </row>
        <row r="702">
          <cell r="A702" t="str">
            <v>RHES-SHPLTBR</v>
          </cell>
          <cell r="B702" t="str">
            <v>VAR_fin</v>
          </cell>
          <cell r="C702" t="str">
            <v>RPLT</v>
          </cell>
          <cell r="H702">
            <v>5.8952343614090304E-2</v>
          </cell>
          <cell r="I702">
            <v>6.4177540765130756E-2</v>
          </cell>
          <cell r="J702">
            <v>5.8307492122272785E-2</v>
          </cell>
        </row>
        <row r="703">
          <cell r="A703" t="str">
            <v>RHES-SHPLTBR</v>
          </cell>
          <cell r="B703" t="str">
            <v>VAR_ncap</v>
          </cell>
          <cell r="C703" t="str">
            <v>-</v>
          </cell>
          <cell r="H703">
            <v>7.5421609249502004E-4</v>
          </cell>
          <cell r="I703">
            <v>3.1765747748570801E-3</v>
          </cell>
          <cell r="J703">
            <v>9.9694651548722199E-4</v>
          </cell>
        </row>
        <row r="704">
          <cell r="A704" t="str">
            <v>RHES-SHPLTBR</v>
          </cell>
          <cell r="B704" t="str">
            <v>VAR_cap</v>
          </cell>
          <cell r="C704" t="str">
            <v>-</v>
          </cell>
          <cell r="H704">
            <v>3.579285760744691E-3</v>
          </cell>
          <cell r="I704">
            <v>3.9309940015653296E-3</v>
          </cell>
          <cell r="J704">
            <v>3.6211203677798997E-3</v>
          </cell>
        </row>
        <row r="705">
          <cell r="A705" t="str">
            <v>RHES-SHCONBR6</v>
          </cell>
          <cell r="B705" t="str">
            <v>VAR_fout</v>
          </cell>
          <cell r="C705" t="str">
            <v>RHES-SHCON</v>
          </cell>
          <cell r="H705">
            <v>3.4859100776635476E-4</v>
          </cell>
          <cell r="I705">
            <v>3.5998911014081862E-4</v>
          </cell>
          <cell r="J705">
            <v>2.386021041854173E-4</v>
          </cell>
        </row>
        <row r="706">
          <cell r="A706" t="str">
            <v>RHES-SHCONBR6</v>
          </cell>
          <cell r="B706" t="str">
            <v>VAR_fin</v>
          </cell>
          <cell r="C706" t="str">
            <v>CON</v>
          </cell>
          <cell r="H706">
            <v>3.4859100776635476E-4</v>
          </cell>
          <cell r="I706">
            <v>3.5998911014081862E-4</v>
          </cell>
          <cell r="J706">
            <v>2.386021041854173E-4</v>
          </cell>
        </row>
        <row r="707">
          <cell r="A707" t="str">
            <v>RHES-SHCONBR6</v>
          </cell>
          <cell r="B707" t="str">
            <v>VAR_ncap</v>
          </cell>
          <cell r="C707" t="str">
            <v>-</v>
          </cell>
          <cell r="H707">
            <v>6.3433420024928402E-8</v>
          </cell>
          <cell r="I707">
            <v>5.1485311604876403E-8</v>
          </cell>
          <cell r="J707">
            <v>9.1730523790604201E-8</v>
          </cell>
        </row>
        <row r="708">
          <cell r="A708" t="str">
            <v>RHES-SHCONBR6</v>
          </cell>
          <cell r="B708" t="str">
            <v>VAR_cap</v>
          </cell>
          <cell r="C708" t="str">
            <v>-</v>
          </cell>
          <cell r="H708">
            <v>3.0903200792154732E-5</v>
          </cell>
          <cell r="I708">
            <v>3.0931261041193706E-5</v>
          </cell>
          <cell r="J708">
            <v>1.8106493291460806E-5</v>
          </cell>
        </row>
        <row r="709">
          <cell r="A709" t="str">
            <v>RHSA-WHPLTBR</v>
          </cell>
          <cell r="B709" t="str">
            <v>VAR_fout</v>
          </cell>
          <cell r="C709" t="str">
            <v>RHSA-WHPLT</v>
          </cell>
          <cell r="H709">
            <v>0.12204845241096431</v>
          </cell>
          <cell r="I709">
            <v>0.14263997435294054</v>
          </cell>
          <cell r="J709">
            <v>0.15091067829842628</v>
          </cell>
        </row>
        <row r="710">
          <cell r="A710" t="str">
            <v>RHSA-WHPLTBR</v>
          </cell>
          <cell r="B710" t="str">
            <v>VAR_fin</v>
          </cell>
          <cell r="C710" t="str">
            <v>RPLT</v>
          </cell>
          <cell r="H710">
            <v>0.25929640476402183</v>
          </cell>
          <cell r="I710">
            <v>0.29623250343539242</v>
          </cell>
          <cell r="J710">
            <v>0.30134976836787525</v>
          </cell>
        </row>
        <row r="711">
          <cell r="A711" t="str">
            <v>RHSA-WHPLTBR</v>
          </cell>
          <cell r="B711" t="str">
            <v>VAR_ncap</v>
          </cell>
          <cell r="C711" t="str">
            <v>-</v>
          </cell>
          <cell r="H711">
            <v>5.10637200223708E-3</v>
          </cell>
          <cell r="I711">
            <v>4.6739937762653103E-3</v>
          </cell>
          <cell r="J711">
            <v>4.7854995870301297E-3</v>
          </cell>
        </row>
        <row r="712">
          <cell r="A712" t="str">
            <v>RHSA-WHPLTBR</v>
          </cell>
          <cell r="B712" t="str">
            <v>VAR_cap</v>
          </cell>
          <cell r="C712" t="str">
            <v>-</v>
          </cell>
          <cell r="H712">
            <v>8.3794028076586528E-3</v>
          </cell>
          <cell r="I712">
            <v>9.7812816070467455E-3</v>
          </cell>
          <cell r="J712">
            <v>1.0337170943714042E-2</v>
          </cell>
        </row>
        <row r="713">
          <cell r="A713" t="str">
            <v>ITOT-SWHCONBR8</v>
          </cell>
          <cell r="B713" t="str">
            <v>VAR_fout</v>
          </cell>
          <cell r="C713" t="str">
            <v>ITOT-ELS</v>
          </cell>
          <cell r="J713">
            <v>2.2358945038176848E-4</v>
          </cell>
        </row>
        <row r="714">
          <cell r="A714" t="str">
            <v>ITOT-SWHCONBR8</v>
          </cell>
          <cell r="B714" t="str">
            <v>VAR_fout</v>
          </cell>
          <cell r="C714" t="str">
            <v>ITOT-SWHC</v>
          </cell>
          <cell r="J714">
            <v>8.6328350374237047E-4</v>
          </cell>
        </row>
        <row r="715">
          <cell r="A715" t="str">
            <v>ITOT-SWHCONBR8</v>
          </cell>
          <cell r="B715" t="str">
            <v>VAR_fin</v>
          </cell>
          <cell r="C715" t="str">
            <v>CON</v>
          </cell>
          <cell r="J715">
            <v>1.0868729541241378E-3</v>
          </cell>
        </row>
        <row r="716">
          <cell r="A716" t="str">
            <v>ITOT-SWHCONBR8</v>
          </cell>
          <cell r="B716" t="str">
            <v>VAR_ncap</v>
          </cell>
          <cell r="C716" t="str">
            <v>-</v>
          </cell>
          <cell r="J716">
            <v>5.67077466003973E-5</v>
          </cell>
        </row>
        <row r="717">
          <cell r="A717" t="str">
            <v>ITOT-SWHCONBR8</v>
          </cell>
          <cell r="B717" t="str">
            <v>VAR_cap</v>
          </cell>
          <cell r="C717" t="str">
            <v>-</v>
          </cell>
          <cell r="J717">
            <v>5.67077466003973E-5</v>
          </cell>
        </row>
        <row r="718">
          <cell r="A718" t="str">
            <v>D-SCOM_KEV_HFC_ELC_CHP</v>
          </cell>
          <cell r="B718" t="str">
            <v>VAR_fout</v>
          </cell>
          <cell r="C718" t="str">
            <v>ELC5</v>
          </cell>
          <cell r="H718">
            <v>1.4550015338835908E-3</v>
          </cell>
          <cell r="I718">
            <v>1.5117825529328132E-3</v>
          </cell>
          <cell r="J718">
            <v>9.8874835286080808E-4</v>
          </cell>
        </row>
        <row r="719">
          <cell r="A719" t="str">
            <v>D-SCOM_KEV_HFC_ELC_CHP</v>
          </cell>
          <cell r="B719" t="str">
            <v>VAR_fout</v>
          </cell>
          <cell r="C719" t="str">
            <v>SCOM_ELC</v>
          </cell>
          <cell r="H719">
            <v>4.5085500480815874E-3</v>
          </cell>
          <cell r="I719">
            <v>9.1437611480108087E-3</v>
          </cell>
          <cell r="J719">
            <v>1.0983122779362699E-2</v>
          </cell>
        </row>
        <row r="720">
          <cell r="A720" t="str">
            <v>D-SCOM_KEV_HFC_ELC_CHP</v>
          </cell>
          <cell r="B720" t="str">
            <v>VAR_fin</v>
          </cell>
          <cell r="C720" t="str">
            <v>SCOM_KEV_HFC_ELC_CHP</v>
          </cell>
          <cell r="H720">
            <v>5.9192064982826198E-3</v>
          </cell>
          <cell r="I720">
            <v>1.0627505517486082E-2</v>
          </cell>
          <cell r="J720">
            <v>1.1944058701328874E-2</v>
          </cell>
        </row>
        <row r="721">
          <cell r="A721" t="str">
            <v>D-EH2R</v>
          </cell>
          <cell r="B721" t="str">
            <v>VAR_fout</v>
          </cell>
          <cell r="C721" t="str">
            <v>EH2</v>
          </cell>
          <cell r="I721">
            <v>4.0776721229587795E-3</v>
          </cell>
          <cell r="J721">
            <v>2.6592581867144052E-2</v>
          </cell>
        </row>
        <row r="722">
          <cell r="A722" t="str">
            <v>D-EH2R</v>
          </cell>
          <cell r="B722" t="str">
            <v>VAR_fin</v>
          </cell>
          <cell r="C722" t="str">
            <v>H2</v>
          </cell>
          <cell r="I722">
            <v>4.0776721229587795E-3</v>
          </cell>
          <cell r="J722">
            <v>2.6592581867144052E-2</v>
          </cell>
        </row>
        <row r="723">
          <cell r="A723" t="str">
            <v>D-EH2R</v>
          </cell>
          <cell r="B723" t="str">
            <v>VAR_ncap</v>
          </cell>
          <cell r="C723" t="str">
            <v>-</v>
          </cell>
          <cell r="H723">
            <v>2.3540914443954101E-6</v>
          </cell>
          <cell r="I723">
            <v>6.1400542161040397E-4</v>
          </cell>
          <cell r="J723">
            <v>1.64861654383137E-3</v>
          </cell>
        </row>
        <row r="724">
          <cell r="A724" t="str">
            <v>D-EH2R</v>
          </cell>
          <cell r="B724" t="str">
            <v>VAR_cap</v>
          </cell>
          <cell r="C724" t="str">
            <v>-</v>
          </cell>
          <cell r="H724">
            <v>2.3540914443954101E-6</v>
          </cell>
          <cell r="I724">
            <v>6.1442238281456802E-4</v>
          </cell>
          <cell r="J724">
            <v>1.85892644634915E-3</v>
          </cell>
        </row>
        <row r="725">
          <cell r="A725" t="str">
            <v>SCOM-ELCSPECADV</v>
          </cell>
          <cell r="B725" t="str">
            <v>VAR_fout</v>
          </cell>
          <cell r="C725" t="str">
            <v>SCOM-ELS</v>
          </cell>
          <cell r="H725">
            <v>10.158333636207105</v>
          </cell>
          <cell r="I725">
            <v>12.630902429990034</v>
          </cell>
          <cell r="J725">
            <v>11.29907955874493</v>
          </cell>
        </row>
        <row r="726">
          <cell r="A726" t="str">
            <v>SCOM-ELCSPECADV</v>
          </cell>
          <cell r="B726" t="str">
            <v>VAR_fin</v>
          </cell>
          <cell r="C726" t="str">
            <v>SCOM_ELC</v>
          </cell>
          <cell r="H726">
            <v>6.7722224241380742</v>
          </cell>
          <cell r="I726">
            <v>8.4206016199933593</v>
          </cell>
          <cell r="J726">
            <v>7.5327197058299591</v>
          </cell>
        </row>
        <row r="727">
          <cell r="A727" t="str">
            <v>SCOM-ELCSPECADV</v>
          </cell>
          <cell r="B727" t="str">
            <v>VAR_ncap</v>
          </cell>
          <cell r="C727" t="str">
            <v>-</v>
          </cell>
          <cell r="H727">
            <v>0.31230494779329199</v>
          </cell>
          <cell r="I727">
            <v>0.26134903292164802</v>
          </cell>
          <cell r="J727">
            <v>0.12667475587365801</v>
          </cell>
        </row>
        <row r="728">
          <cell r="A728" t="str">
            <v>SCOM-ELCSPECADV</v>
          </cell>
          <cell r="B728" t="str">
            <v>VAR_cap</v>
          </cell>
          <cell r="C728" t="str">
            <v>-</v>
          </cell>
          <cell r="H728">
            <v>1.0737280010900174</v>
          </cell>
          <cell r="I728">
            <v>1.3350766312291307</v>
          </cell>
          <cell r="J728">
            <v>1.1943043671981468</v>
          </cell>
        </row>
        <row r="729">
          <cell r="A729" t="str">
            <v>RHSA-WHLTHRD</v>
          </cell>
          <cell r="B729" t="str">
            <v>VAR_fout</v>
          </cell>
          <cell r="C729" t="str">
            <v>RHSA-WHLTHRD</v>
          </cell>
          <cell r="H729">
            <v>1.7925778260392324</v>
          </cell>
          <cell r="I729">
            <v>2.1362660011407777</v>
          </cell>
          <cell r="J729">
            <v>2.4648370514263553</v>
          </cell>
        </row>
        <row r="730">
          <cell r="A730" t="str">
            <v>RHSA-WHLTHRD</v>
          </cell>
          <cell r="B730" t="str">
            <v>VAR_fin</v>
          </cell>
          <cell r="C730" t="str">
            <v>RHSA_LTH</v>
          </cell>
          <cell r="H730">
            <v>3.1572796349178751</v>
          </cell>
          <cell r="I730">
            <v>3.7146237048304749</v>
          </cell>
          <cell r="J730">
            <v>4.1918356350699755</v>
          </cell>
        </row>
        <row r="731">
          <cell r="A731" t="str">
            <v>RHSA-WHLTHRD</v>
          </cell>
          <cell r="B731" t="str">
            <v>VAR_ncap</v>
          </cell>
          <cell r="C731" t="str">
            <v>-</v>
          </cell>
          <cell r="H731">
            <v>0.10417812667041999</v>
          </cell>
          <cell r="I731">
            <v>9.4639207640052306E-2</v>
          </cell>
          <cell r="J731">
            <v>0.116572981988709</v>
          </cell>
        </row>
        <row r="732">
          <cell r="A732" t="str">
            <v>RHSA-WHLTHRD</v>
          </cell>
          <cell r="B732" t="str">
            <v>VAR_cap</v>
          </cell>
          <cell r="C732" t="str">
            <v>-</v>
          </cell>
          <cell r="H732">
            <v>0.18687585520770697</v>
          </cell>
          <cell r="I732">
            <v>0.22958113962747501</v>
          </cell>
          <cell r="J732">
            <v>0.28416382022386905</v>
          </cell>
        </row>
        <row r="733">
          <cell r="A733" t="str">
            <v>RHES-SHCONBR7</v>
          </cell>
          <cell r="B733" t="str">
            <v>VAR_fout</v>
          </cell>
          <cell r="C733" t="str">
            <v>RHES-SHCON</v>
          </cell>
          <cell r="H733">
            <v>3.3255707876147405E-4</v>
          </cell>
          <cell r="I733">
            <v>3.4293835558165759E-4</v>
          </cell>
          <cell r="J733">
            <v>2.2801448368212494E-4</v>
          </cell>
        </row>
        <row r="734">
          <cell r="A734" t="str">
            <v>RHES-SHCONBR7</v>
          </cell>
          <cell r="B734" t="str">
            <v>VAR_fin</v>
          </cell>
          <cell r="C734" t="str">
            <v>CON</v>
          </cell>
          <cell r="H734">
            <v>3.3255707876147405E-4</v>
          </cell>
          <cell r="I734">
            <v>3.4293835558165759E-4</v>
          </cell>
          <cell r="J734">
            <v>2.2801448368212494E-4</v>
          </cell>
        </row>
        <row r="735">
          <cell r="A735" t="str">
            <v>RHES-SHCONBR7</v>
          </cell>
          <cell r="B735" t="str">
            <v>VAR_ncap</v>
          </cell>
          <cell r="C735" t="str">
            <v>-</v>
          </cell>
          <cell r="H735">
            <v>6.2688555477085895E-8</v>
          </cell>
          <cell r="I735">
            <v>5.0776966457912901E-8</v>
          </cell>
          <cell r="J735">
            <v>8.9423655165962394E-8</v>
          </cell>
        </row>
        <row r="736">
          <cell r="A736" t="str">
            <v>RHES-SHCONBR7</v>
          </cell>
          <cell r="B736" t="str">
            <v>VAR_cap</v>
          </cell>
          <cell r="C736" t="str">
            <v>-</v>
          </cell>
          <cell r="H736">
            <v>2.9260178016723532E-5</v>
          </cell>
          <cell r="I736">
            <v>2.9287018091154994E-5</v>
          </cell>
          <cell r="J736">
            <v>1.7152014603975582E-5</v>
          </cell>
        </row>
        <row r="737">
          <cell r="A737" t="str">
            <v>ITOT-SWHCONBR9</v>
          </cell>
          <cell r="B737" t="str">
            <v>VAR_fout</v>
          </cell>
          <cell r="C737" t="str">
            <v>ITOT-ELS</v>
          </cell>
          <cell r="J737">
            <v>7.9790956745100848E-5</v>
          </cell>
        </row>
        <row r="738">
          <cell r="A738" t="str">
            <v>ITOT-SWHCONBR9</v>
          </cell>
          <cell r="B738" t="str">
            <v>VAR_fout</v>
          </cell>
          <cell r="C738" t="str">
            <v>ITOT-SWHC</v>
          </cell>
          <cell r="J738">
            <v>4.6310623723373577E-4</v>
          </cell>
        </row>
        <row r="739">
          <cell r="A739" t="str">
            <v>ITOT-SWHCONBR9</v>
          </cell>
          <cell r="B739" t="str">
            <v>VAR_fin</v>
          </cell>
          <cell r="C739" t="str">
            <v>CON</v>
          </cell>
          <cell r="J739">
            <v>5.4289719397883612E-4</v>
          </cell>
        </row>
        <row r="740">
          <cell r="A740" t="str">
            <v>ITOT-SWHCONBR9</v>
          </cell>
          <cell r="B740" t="str">
            <v>VAR_ncap</v>
          </cell>
          <cell r="C740" t="str">
            <v>-</v>
          </cell>
          <cell r="J740">
            <v>2.7118365367846299E-5</v>
          </cell>
        </row>
        <row r="741">
          <cell r="A741" t="str">
            <v>ITOT-SWHCONBR9</v>
          </cell>
          <cell r="B741" t="str">
            <v>VAR_cap</v>
          </cell>
          <cell r="C741" t="str">
            <v>-</v>
          </cell>
          <cell r="J741">
            <v>2.7118365367846299E-5</v>
          </cell>
        </row>
        <row r="742">
          <cell r="A742" t="str">
            <v>SCOM-SHPLTBR</v>
          </cell>
          <cell r="B742" t="str">
            <v>VAR_fout</v>
          </cell>
          <cell r="C742" t="str">
            <v>SCOM-SHPLT</v>
          </cell>
          <cell r="H742">
            <v>0.54488833848819096</v>
          </cell>
          <cell r="I742">
            <v>0.70248432862311583</v>
          </cell>
          <cell r="J742">
            <v>0.73934833048218818</v>
          </cell>
        </row>
        <row r="743">
          <cell r="A743" t="str">
            <v>SCOM-SHPLTBR</v>
          </cell>
          <cell r="B743" t="str">
            <v>VAR_fin</v>
          </cell>
          <cell r="C743" t="str">
            <v>SCOMPLTBRC</v>
          </cell>
          <cell r="H743">
            <v>0.54488833848819096</v>
          </cell>
          <cell r="I743">
            <v>0.70248432862311583</v>
          </cell>
          <cell r="J743">
            <v>0.73934833048218818</v>
          </cell>
        </row>
        <row r="744">
          <cell r="A744" t="str">
            <v>SCOM-SHPLTBR</v>
          </cell>
          <cell r="B744" t="str">
            <v>VAR_fin</v>
          </cell>
          <cell r="C744" t="str">
            <v>SPLT</v>
          </cell>
          <cell r="H744">
            <v>0.81958070322726606</v>
          </cell>
          <cell r="I744">
            <v>1.0403624874905346</v>
          </cell>
          <cell r="J744">
            <v>1.0853210851587736</v>
          </cell>
        </row>
        <row r="745">
          <cell r="A745" t="str">
            <v>SCOM-SHPLTBR</v>
          </cell>
          <cell r="B745" t="str">
            <v>VAR_ncap</v>
          </cell>
          <cell r="C745" t="str">
            <v>-</v>
          </cell>
          <cell r="H745">
            <v>2.3577826440327101E-2</v>
          </cell>
          <cell r="I745">
            <v>3.5434734696916999E-2</v>
          </cell>
          <cell r="J745">
            <v>2.706799661852E-2</v>
          </cell>
        </row>
        <row r="746">
          <cell r="A746" t="str">
            <v>SCOM-SHPLTBR</v>
          </cell>
          <cell r="B746" t="str">
            <v>VAR_cap</v>
          </cell>
          <cell r="C746" t="str">
            <v>-</v>
          </cell>
          <cell r="H746">
            <v>4.4868705091709406E-2</v>
          </cell>
          <cell r="I746">
            <v>5.9014820952192577E-2</v>
          </cell>
          <cell r="J746">
            <v>6.2756594809703498E-2</v>
          </cell>
        </row>
        <row r="747">
          <cell r="A747" t="str">
            <v>ITOT-SWHELCHP</v>
          </cell>
          <cell r="B747" t="str">
            <v>VAR_fout</v>
          </cell>
          <cell r="C747" t="str">
            <v>ITOT-SWHAELCH</v>
          </cell>
          <cell r="H747">
            <v>8.4147206528413427</v>
          </cell>
          <cell r="I747">
            <v>9.6033902836675296</v>
          </cell>
          <cell r="J747">
            <v>13.228701738066375</v>
          </cell>
        </row>
        <row r="748">
          <cell r="A748" t="str">
            <v>ITOT-SWHELCHP</v>
          </cell>
          <cell r="B748" t="str">
            <v>VAR_fin</v>
          </cell>
          <cell r="C748" t="str">
            <v>ITOT_ELC</v>
          </cell>
          <cell r="H748">
            <v>2.5771236083600746</v>
          </cell>
          <cell r="I748">
            <v>2.8868891905167477</v>
          </cell>
          <cell r="J748">
            <v>3.8351404139233498</v>
          </cell>
        </row>
        <row r="749">
          <cell r="A749" t="str">
            <v>ITOT-SWHELCHP</v>
          </cell>
          <cell r="B749" t="str">
            <v>VAR_fin</v>
          </cell>
          <cell r="C749" t="str">
            <v>ITOTELCHPC</v>
          </cell>
          <cell r="H749">
            <v>8.4147206528413427</v>
          </cell>
          <cell r="I749">
            <v>9.6033902836675296</v>
          </cell>
          <cell r="J749">
            <v>13.228701738066375</v>
          </cell>
        </row>
        <row r="750">
          <cell r="A750" t="str">
            <v>ITOT-SWHELCHP</v>
          </cell>
          <cell r="B750" t="str">
            <v>VAR_ncap</v>
          </cell>
          <cell r="C750" t="str">
            <v>-</v>
          </cell>
          <cell r="H750">
            <v>0.18683884308231699</v>
          </cell>
          <cell r="I750">
            <v>0.20316511540593901</v>
          </cell>
          <cell r="J750">
            <v>0.50558337557670296</v>
          </cell>
        </row>
        <row r="751">
          <cell r="A751" t="str">
            <v>ITOT-SWHELCHP</v>
          </cell>
          <cell r="B751" t="str">
            <v>VAR_cap</v>
          </cell>
          <cell r="C751" t="str">
            <v>-</v>
          </cell>
          <cell r="H751">
            <v>0.46162859599883099</v>
          </cell>
          <cell r="I751">
            <v>0.53168428753996999</v>
          </cell>
          <cell r="J751">
            <v>0.73205481534389605</v>
          </cell>
        </row>
        <row r="752">
          <cell r="A752" t="str">
            <v>RHES-SHCONBR8</v>
          </cell>
          <cell r="B752" t="str">
            <v>VAR_fout</v>
          </cell>
          <cell r="C752" t="str">
            <v>RHES-SHCON</v>
          </cell>
          <cell r="H752">
            <v>9.1129007230988812E-5</v>
          </cell>
          <cell r="I752">
            <v>8.3126154102865509E-5</v>
          </cell>
          <cell r="J752">
            <v>6.1901477204705658E-5</v>
          </cell>
        </row>
        <row r="753">
          <cell r="A753" t="str">
            <v>RHES-SHCONBR8</v>
          </cell>
          <cell r="B753" t="str">
            <v>VAR_fin</v>
          </cell>
          <cell r="C753" t="str">
            <v>CON</v>
          </cell>
          <cell r="H753">
            <v>9.1129007230988812E-5</v>
          </cell>
          <cell r="I753">
            <v>8.3126154102865509E-5</v>
          </cell>
          <cell r="J753">
            <v>6.1901477204705658E-5</v>
          </cell>
        </row>
        <row r="754">
          <cell r="A754" t="str">
            <v>RHES-SHCONBR8</v>
          </cell>
          <cell r="B754" t="str">
            <v>VAR_ncap</v>
          </cell>
          <cell r="C754" t="str">
            <v>-</v>
          </cell>
          <cell r="H754">
            <v>3.8895710570770802E-8</v>
          </cell>
          <cell r="I754">
            <v>2.9325494391076301E-8</v>
          </cell>
          <cell r="J754">
            <v>4.0746467953705702E-8</v>
          </cell>
        </row>
        <row r="755">
          <cell r="A755" t="str">
            <v>RHES-SHCONBR8</v>
          </cell>
          <cell r="B755" t="str">
            <v>VAR_cap</v>
          </cell>
          <cell r="C755" t="str">
            <v>-</v>
          </cell>
          <cell r="H755">
            <v>1.4556917361712819E-6</v>
          </cell>
          <cell r="I755">
            <v>1.468146919927823E-6</v>
          </cell>
          <cell r="J755">
            <v>1.0838439595088299E-6</v>
          </cell>
        </row>
        <row r="756">
          <cell r="A756" t="str">
            <v>RHEM-SHWODBR</v>
          </cell>
          <cell r="B756" t="str">
            <v>VAR_fout</v>
          </cell>
          <cell r="C756" t="str">
            <v>RHEM-SHWOD</v>
          </cell>
          <cell r="H756">
            <v>3.9383012208757124</v>
          </cell>
          <cell r="I756">
            <v>3.3503129392719893</v>
          </cell>
          <cell r="J756">
            <v>2.013960104086947</v>
          </cell>
        </row>
        <row r="757">
          <cell r="A757" t="str">
            <v>RHEM-SHWODBR</v>
          </cell>
          <cell r="B757" t="str">
            <v>VAR_fin</v>
          </cell>
          <cell r="C757" t="str">
            <v>RHEMWODBRC</v>
          </cell>
          <cell r="H757">
            <v>3.9383012208757124</v>
          </cell>
          <cell r="I757">
            <v>3.3503129392719893</v>
          </cell>
          <cell r="J757">
            <v>2.013960104086947</v>
          </cell>
        </row>
        <row r="758">
          <cell r="A758" t="str">
            <v>RHEM-SHWODBR</v>
          </cell>
          <cell r="B758" t="str">
            <v>VAR_fin</v>
          </cell>
          <cell r="C758" t="str">
            <v>RWOD</v>
          </cell>
          <cell r="H758">
            <v>5.4282142424278863</v>
          </cell>
          <cell r="I758">
            <v>4.617781981009264</v>
          </cell>
          <cell r="J758">
            <v>2.6878296679737552</v>
          </cell>
        </row>
        <row r="759">
          <cell r="A759" t="str">
            <v>RHEM-SHWODBR</v>
          </cell>
          <cell r="B759" t="str">
            <v>VAR_ncap</v>
          </cell>
          <cell r="C759" t="str">
            <v>-</v>
          </cell>
          <cell r="H759">
            <v>0.183738137540712</v>
          </cell>
          <cell r="I759">
            <v>5.45443275896711E-2</v>
          </cell>
          <cell r="J759">
            <v>2.6149346902520399E-2</v>
          </cell>
        </row>
        <row r="760">
          <cell r="A760" t="str">
            <v>RHEM-SHWODBR</v>
          </cell>
          <cell r="B760" t="str">
            <v>VAR_cap</v>
          </cell>
          <cell r="C760" t="str">
            <v>-</v>
          </cell>
          <cell r="H760">
            <v>0.27822746973057538</v>
          </cell>
          <cell r="I760">
            <v>0.23828807585757969</v>
          </cell>
          <cell r="J760">
            <v>0.14345376369400195</v>
          </cell>
        </row>
        <row r="761">
          <cell r="A761" t="str">
            <v>RHES-SHCONBR9</v>
          </cell>
          <cell r="B761" t="str">
            <v>VAR_fout</v>
          </cell>
          <cell r="C761" t="str">
            <v>RHES-SHCON</v>
          </cell>
          <cell r="H761">
            <v>8.0861895372404228E-5</v>
          </cell>
          <cell r="I761">
            <v>7.041778358779529E-5</v>
          </cell>
          <cell r="J761">
            <v>5.1556025216870522E-5</v>
          </cell>
        </row>
        <row r="762">
          <cell r="A762" t="str">
            <v>RHES-SHCONBR9</v>
          </cell>
          <cell r="B762" t="str">
            <v>VAR_fin</v>
          </cell>
          <cell r="C762" t="str">
            <v>CON</v>
          </cell>
          <cell r="H762">
            <v>8.0861895372404228E-5</v>
          </cell>
          <cell r="I762">
            <v>7.041778358779529E-5</v>
          </cell>
          <cell r="J762">
            <v>5.1556025216870522E-5</v>
          </cell>
        </row>
        <row r="763">
          <cell r="A763" t="str">
            <v>RHES-SHCONBR9</v>
          </cell>
          <cell r="B763" t="str">
            <v>VAR_ncap</v>
          </cell>
          <cell r="C763" t="str">
            <v>-</v>
          </cell>
        </row>
        <row r="764">
          <cell r="A764" t="str">
            <v>RHES-SHCONBR9</v>
          </cell>
          <cell r="B764" t="str">
            <v>VAR_cap</v>
          </cell>
          <cell r="C764" t="str">
            <v>-</v>
          </cell>
          <cell r="H764">
            <v>-8.8552517233316397E-8</v>
          </cell>
          <cell r="I764">
            <v>-1.03559949043697E-7</v>
          </cell>
          <cell r="J764">
            <v>-5.1553491775362697E-8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RHSA_LTH</v>
          </cell>
          <cell r="H765">
            <v>3.3342590555296902E-3</v>
          </cell>
          <cell r="I765">
            <v>1.6602400303284191E-3</v>
          </cell>
          <cell r="J765">
            <v>2.1786778421528808E-5</v>
          </cell>
        </row>
        <row r="766">
          <cell r="A766" t="str">
            <v>D-RHNS_LTH_CHPNGA</v>
          </cell>
          <cell r="B766" t="str">
            <v>VAR_fout</v>
          </cell>
          <cell r="C766" t="str">
            <v>LTH</v>
          </cell>
          <cell r="H766">
            <v>2.1889886175954072E-6</v>
          </cell>
          <cell r="I766">
            <v>1.2992557603401949E-6</v>
          </cell>
          <cell r="J766">
            <v>1.362752473749878E-5</v>
          </cell>
        </row>
        <row r="767">
          <cell r="A767" t="str">
            <v>D-RHNS_LTH_CHPNGA</v>
          </cell>
          <cell r="B767" t="str">
            <v>VAR_fout</v>
          </cell>
          <cell r="C767" t="str">
            <v>RHNS_LTH_CHPNGA_ON</v>
          </cell>
          <cell r="I767">
            <v>1.056894678425535E-4</v>
          </cell>
          <cell r="J767">
            <v>1.1771085103015765E-5</v>
          </cell>
        </row>
        <row r="768">
          <cell r="A768" t="str">
            <v>D-RHNS_LTH_CHPNGA</v>
          </cell>
          <cell r="B768" t="str">
            <v>VAR_fin</v>
          </cell>
          <cell r="C768" t="str">
            <v>RHNS_LTH_CHPNGA</v>
          </cell>
          <cell r="H768">
            <v>3.3379269555852062E-3</v>
          </cell>
          <cell r="I768">
            <v>1.7689142035033517E-3</v>
          </cell>
          <cell r="J768">
            <v>4.7185388262043355E-5</v>
          </cell>
        </row>
        <row r="769">
          <cell r="A769" t="str">
            <v>D-SLFO</v>
          </cell>
          <cell r="B769" t="str">
            <v>VAR_fout</v>
          </cell>
          <cell r="C769" t="str">
            <v>CO2</v>
          </cell>
          <cell r="H769">
            <v>882.57626633796201</v>
          </cell>
          <cell r="I769">
            <v>508.65139640366499</v>
          </cell>
          <cell r="J769">
            <v>9.856129558590439E-4</v>
          </cell>
        </row>
        <row r="770">
          <cell r="A770" t="str">
            <v>D-SLFO</v>
          </cell>
          <cell r="B770" t="str">
            <v>VAR_fout</v>
          </cell>
          <cell r="C770" t="str">
            <v>SLFO</v>
          </cell>
          <cell r="H770">
            <v>11.776576529729931</v>
          </cell>
          <cell r="I770">
            <v>6.7873256860145847</v>
          </cell>
          <cell r="J770">
            <v>1.2797451625720144</v>
          </cell>
        </row>
        <row r="771">
          <cell r="A771" t="str">
            <v>D-SLFO</v>
          </cell>
          <cell r="B771" t="str">
            <v>VAR_fin</v>
          </cell>
          <cell r="C771" t="str">
            <v>LFO</v>
          </cell>
          <cell r="H771">
            <v>11.975254631451323</v>
          </cell>
          <cell r="I771">
            <v>6.9016471696562416</v>
          </cell>
          <cell r="J771">
            <v>1.3373310120204116E-5</v>
          </cell>
        </row>
        <row r="772">
          <cell r="A772" t="str">
            <v>D-SLFO</v>
          </cell>
          <cell r="B772" t="str">
            <v>VAR_fin</v>
          </cell>
          <cell r="C772" t="str">
            <v>BDS</v>
          </cell>
          <cell r="H772">
            <v>1.3498655333758886E-3</v>
          </cell>
          <cell r="I772">
            <v>9.632065050980287E-4</v>
          </cell>
          <cell r="J772">
            <v>1.3014715481742718</v>
          </cell>
        </row>
        <row r="773">
          <cell r="A773" t="str">
            <v>D-RCOA</v>
          </cell>
          <cell r="B773" t="str">
            <v>VAR_fout</v>
          </cell>
          <cell r="C773" t="str">
            <v>CO2</v>
          </cell>
        </row>
        <row r="774">
          <cell r="A774" t="str">
            <v>D-RCOA</v>
          </cell>
          <cell r="B774" t="str">
            <v>VAR_fout</v>
          </cell>
          <cell r="C774" t="str">
            <v>RCOA</v>
          </cell>
        </row>
        <row r="775">
          <cell r="A775" t="str">
            <v>D-RCOA</v>
          </cell>
          <cell r="B775" t="str">
            <v>VAR_fin</v>
          </cell>
          <cell r="C775" t="str">
            <v>COA</v>
          </cell>
        </row>
        <row r="776">
          <cell r="A776" t="str">
            <v>SCOM-ELCSPECDC</v>
          </cell>
          <cell r="B776" t="str">
            <v>VAR_fout</v>
          </cell>
          <cell r="C776" t="str">
            <v>SCOM-ELSDC</v>
          </cell>
          <cell r="H776">
            <v>13.691177130453321</v>
          </cell>
          <cell r="I776">
            <v>14.360761447425402</v>
          </cell>
          <cell r="J776">
            <v>15.003928137569197</v>
          </cell>
        </row>
        <row r="777">
          <cell r="A777" t="str">
            <v>SCOM-ELCSPECDC</v>
          </cell>
          <cell r="B777" t="str">
            <v>VAR_fin</v>
          </cell>
          <cell r="C777" t="str">
            <v>SCOM_ELC</v>
          </cell>
          <cell r="H777">
            <v>13.691177130453321</v>
          </cell>
          <cell r="I777">
            <v>14.360761447425402</v>
          </cell>
          <cell r="J777">
            <v>15.003928137569197</v>
          </cell>
        </row>
        <row r="778">
          <cell r="A778" t="str">
            <v>D-RHEM_KEV_WOD_ELC_CHP</v>
          </cell>
          <cell r="B778" t="str">
            <v>VAR_fout</v>
          </cell>
          <cell r="C778" t="str">
            <v>ELC5</v>
          </cell>
          <cell r="H778">
            <v>2.5444233490038502E-3</v>
          </cell>
          <cell r="I778">
            <v>4.6225110129492581E-3</v>
          </cell>
          <cell r="J778">
            <v>1.5180360727778041E-3</v>
          </cell>
        </row>
        <row r="779">
          <cell r="A779" t="str">
            <v>D-RHEM_KEV_WOD_ELC_CHP</v>
          </cell>
          <cell r="B779" t="str">
            <v>VAR_fout</v>
          </cell>
          <cell r="C779" t="str">
            <v>RHEM_ELC</v>
          </cell>
          <cell r="H779">
            <v>0.14101258020854246</v>
          </cell>
          <cell r="I779">
            <v>0.28488014037252252</v>
          </cell>
          <cell r="J779">
            <v>4.5974555118082537E-2</v>
          </cell>
        </row>
        <row r="780">
          <cell r="A780" t="str">
            <v>D-RHEM_KEV_WOD_ELC_CHP</v>
          </cell>
          <cell r="B780" t="str">
            <v>VAR_fin</v>
          </cell>
          <cell r="C780" t="str">
            <v>RHEM_KEV_WOD_ELC_CHP</v>
          </cell>
          <cell r="H780">
            <v>0.14352479794414894</v>
          </cell>
          <cell r="I780">
            <v>0.28947073210439261</v>
          </cell>
          <cell r="J780">
            <v>4.7466792737668982E-2</v>
          </cell>
        </row>
        <row r="781">
          <cell r="A781" t="str">
            <v>RHES-SHSTG-SOL</v>
          </cell>
          <cell r="B781" t="str">
            <v>VAR_fout</v>
          </cell>
          <cell r="C781" t="str">
            <v>AUX_RHES-SHSTG-SOL_OUT</v>
          </cell>
          <cell r="H781">
            <v>1.0731809027150882E-2</v>
          </cell>
          <cell r="I781">
            <v>3.6064202608994153E-3</v>
          </cell>
          <cell r="J781">
            <v>2.9498418024033273E-3</v>
          </cell>
        </row>
        <row r="782">
          <cell r="A782" t="str">
            <v>RHES-SHSTG-SOL</v>
          </cell>
          <cell r="B782" t="str">
            <v>VAR_fout</v>
          </cell>
          <cell r="C782" t="str">
            <v>RHES-SHASOL</v>
          </cell>
          <cell r="H782">
            <v>1.0721087939211661E-2</v>
          </cell>
          <cell r="I782">
            <v>3.6028174434559594E-3</v>
          </cell>
          <cell r="J782">
            <v>2.9468949074958322E-3</v>
          </cell>
        </row>
        <row r="783">
          <cell r="A783" t="str">
            <v>RHES-SHSTG-SOL</v>
          </cell>
          <cell r="B783" t="str">
            <v>VAR_fin</v>
          </cell>
          <cell r="C783" t="str">
            <v>RHES-SHASOL</v>
          </cell>
          <cell r="H783">
            <v>1.0712090466903383E-2</v>
          </cell>
          <cell r="I783">
            <v>3.5972159199419459E-3</v>
          </cell>
          <cell r="J783">
            <v>2.9391396511588867E-3</v>
          </cell>
        </row>
        <row r="784">
          <cell r="A784" t="str">
            <v>RHES-SHSTG-SOL</v>
          </cell>
          <cell r="B784" t="str">
            <v>VAR_ncap</v>
          </cell>
          <cell r="C784" t="str">
            <v>-</v>
          </cell>
          <cell r="H784">
            <v>3.6297611096307601E-4</v>
          </cell>
          <cell r="I784">
            <v>2.2933361716860501E-4</v>
          </cell>
          <cell r="J784">
            <v>2.14960869898141E-4</v>
          </cell>
        </row>
        <row r="785">
          <cell r="A785" t="str">
            <v>RHES-SHSTG-SOL</v>
          </cell>
          <cell r="B785" t="str">
            <v>VAR_cap</v>
          </cell>
          <cell r="C785" t="str">
            <v>-</v>
          </cell>
          <cell r="H785">
            <v>3.27000867904994E-3</v>
          </cell>
          <cell r="I785">
            <v>5.9346470152281199E-4</v>
          </cell>
          <cell r="J785">
            <v>5.3493291753188696E-4</v>
          </cell>
        </row>
        <row r="786">
          <cell r="A786" t="str">
            <v>D-ITOT_LTH</v>
          </cell>
          <cell r="B786" t="str">
            <v>VAR_fout</v>
          </cell>
          <cell r="C786" t="str">
            <v>ITOT_LTH_DH</v>
          </cell>
          <cell r="H786">
            <v>7.6289065419846418</v>
          </cell>
          <cell r="I786">
            <v>7.6289193455469286</v>
          </cell>
          <cell r="J786">
            <v>9.0635657865870289</v>
          </cell>
        </row>
        <row r="787">
          <cell r="A787" t="str">
            <v>D-ITOT_LTH</v>
          </cell>
          <cell r="B787" t="str">
            <v>VAR_fin</v>
          </cell>
          <cell r="C787" t="str">
            <v>LTH</v>
          </cell>
          <cell r="H787">
            <v>8.2772615996516592</v>
          </cell>
          <cell r="I787">
            <v>8.2718499043690521</v>
          </cell>
          <cell r="J787">
            <v>9.8145353504753388</v>
          </cell>
        </row>
        <row r="788">
          <cell r="A788" t="str">
            <v>D-ITOT_LTH</v>
          </cell>
          <cell r="B788" t="str">
            <v>VAR_ncap</v>
          </cell>
          <cell r="C788" t="str">
            <v>-</v>
          </cell>
          <cell r="H788">
            <v>2.3071801443772499E-7</v>
          </cell>
          <cell r="I788">
            <v>2.68611357590874E-7</v>
          </cell>
          <cell r="J788">
            <v>2.80467667023472E-7</v>
          </cell>
        </row>
        <row r="789">
          <cell r="A789" t="str">
            <v>D-ITOT_LTH</v>
          </cell>
          <cell r="B789" t="str">
            <v>VAR_cap</v>
          </cell>
          <cell r="C789" t="str">
            <v>-</v>
          </cell>
          <cell r="H789">
            <v>0.79547334666324498</v>
          </cell>
          <cell r="I789">
            <v>0.79547361527460303</v>
          </cell>
          <cell r="J789">
            <v>0.79547389574227001</v>
          </cell>
        </row>
        <row r="790">
          <cell r="A790" t="str">
            <v>D-IH2</v>
          </cell>
          <cell r="B790" t="str">
            <v>VAR_fout</v>
          </cell>
          <cell r="C790" t="str">
            <v>IH2</v>
          </cell>
          <cell r="H790">
            <v>1.6169266718333124</v>
          </cell>
          <cell r="I790">
            <v>1.8682213142223227</v>
          </cell>
          <cell r="J790">
            <v>2.2557512887397864</v>
          </cell>
        </row>
        <row r="791">
          <cell r="A791" t="str">
            <v>D-IH2</v>
          </cell>
          <cell r="B791" t="str">
            <v>VAR_fin</v>
          </cell>
          <cell r="C791" t="str">
            <v>H2</v>
          </cell>
          <cell r="H791">
            <v>1.6292450466165627</v>
          </cell>
          <cell r="I791">
            <v>1.8824541490982254</v>
          </cell>
          <cell r="J791">
            <v>2.2729364773303065</v>
          </cell>
        </row>
        <row r="792">
          <cell r="A792" t="str">
            <v>D-IH2</v>
          </cell>
          <cell r="B792" t="str">
            <v>VAR_ncap</v>
          </cell>
          <cell r="C792" t="str">
            <v>-</v>
          </cell>
          <cell r="H792">
            <v>7.1186738990389797E-2</v>
          </cell>
          <cell r="I792">
            <v>0.23767819974069301</v>
          </cell>
          <cell r="J792">
            <v>5.2060214705283302E-4</v>
          </cell>
        </row>
        <row r="793">
          <cell r="A793" t="str">
            <v>D-IH2</v>
          </cell>
          <cell r="B793" t="str">
            <v>VAR_cap</v>
          </cell>
          <cell r="C793" t="str">
            <v>-</v>
          </cell>
          <cell r="H793">
            <v>7.1188069813909002E-2</v>
          </cell>
          <cell r="I793">
            <v>0.308866269554602</v>
          </cell>
          <cell r="J793">
            <v>0.30938687170165502</v>
          </cell>
        </row>
        <row r="794">
          <cell r="A794" t="str">
            <v>D-RHNM_LTH_CHPWOD</v>
          </cell>
          <cell r="B794" t="str">
            <v>VAR_fout</v>
          </cell>
          <cell r="C794" t="str">
            <v>RHNM_LTH_CHPWOD_ON</v>
          </cell>
          <cell r="I794">
            <v>0.26256351130107408</v>
          </cell>
        </row>
        <row r="795">
          <cell r="A795" t="str">
            <v>D-RHNM_LTH_CHPWOD</v>
          </cell>
          <cell r="B795" t="str">
            <v>VAR_fout</v>
          </cell>
          <cell r="C795" t="str">
            <v>RHSA_LTH</v>
          </cell>
          <cell r="H795">
            <v>0.36394208704161701</v>
          </cell>
          <cell r="I795">
            <v>0.49168210555312786</v>
          </cell>
          <cell r="J795">
            <v>0.12462338714450684</v>
          </cell>
        </row>
        <row r="796">
          <cell r="A796" t="str">
            <v>D-RHNM_LTH_CHPWOD</v>
          </cell>
          <cell r="B796" t="str">
            <v>VAR_fout</v>
          </cell>
          <cell r="C796" t="str">
            <v>LTH</v>
          </cell>
          <cell r="H796">
            <v>2.5665137839635238E-4</v>
          </cell>
          <cell r="I796">
            <v>3.8672210548049802E-4</v>
          </cell>
          <cell r="J796">
            <v>1.3034644173191341E-4</v>
          </cell>
        </row>
        <row r="797">
          <cell r="A797" t="str">
            <v>D-RHNM_LTH_CHPWOD</v>
          </cell>
          <cell r="B797" t="str">
            <v>VAR_fin</v>
          </cell>
          <cell r="C797" t="str">
            <v>RHNM_LTH_CHPWOD</v>
          </cell>
          <cell r="H797">
            <v>0.36419873842001332</v>
          </cell>
          <cell r="I797">
            <v>0.75463235866059308</v>
          </cell>
          <cell r="J797">
            <v>0.12475377054428806</v>
          </cell>
        </row>
        <row r="798">
          <cell r="A798" t="str">
            <v>RHNS-SHWODBR</v>
          </cell>
          <cell r="B798" t="str">
            <v>VAR_fout</v>
          </cell>
          <cell r="C798" t="str">
            <v>RHNS-SHWOD</v>
          </cell>
          <cell r="H798">
            <v>8.3074907960707323E-2</v>
          </cell>
          <cell r="I798">
            <v>8.4817358350274472E-2</v>
          </cell>
          <cell r="J798">
            <v>8.6481046632809977E-2</v>
          </cell>
        </row>
        <row r="799">
          <cell r="A799" t="str">
            <v>RHNS-SHWODBR</v>
          </cell>
          <cell r="B799" t="str">
            <v>VAR_fin</v>
          </cell>
          <cell r="C799" t="str">
            <v>RHNSWODBRC</v>
          </cell>
          <cell r="H799">
            <v>8.3074907960707323E-2</v>
          </cell>
          <cell r="I799">
            <v>8.4817358350274472E-2</v>
          </cell>
          <cell r="J799">
            <v>8.6481046632809977E-2</v>
          </cell>
        </row>
        <row r="800">
          <cell r="A800" t="str">
            <v>RHNS-SHWODBR</v>
          </cell>
          <cell r="B800" t="str">
            <v>VAR_fin</v>
          </cell>
          <cell r="C800" t="str">
            <v>RWOD</v>
          </cell>
          <cell r="H800">
            <v>0.10961003013960638</v>
          </cell>
          <cell r="I800">
            <v>0.11174471555345136</v>
          </cell>
          <cell r="J800">
            <v>0.11353082473875202</v>
          </cell>
        </row>
        <row r="801">
          <cell r="A801" t="str">
            <v>RHNS-SHWODBR</v>
          </cell>
          <cell r="B801" t="str">
            <v>VAR_ncap</v>
          </cell>
          <cell r="C801" t="str">
            <v>-</v>
          </cell>
          <cell r="H801">
            <v>1.4941948423741599E-2</v>
          </cell>
        </row>
        <row r="802">
          <cell r="A802" t="str">
            <v>RHNS-SHWODBR</v>
          </cell>
          <cell r="B802" t="str">
            <v>VAR_cap</v>
          </cell>
          <cell r="C802" t="str">
            <v>-</v>
          </cell>
          <cell r="H802">
            <v>1.8684500001809979E-2</v>
          </cell>
          <cell r="I802">
            <v>1.5586038246098321E-2</v>
          </cell>
          <cell r="J802">
            <v>6.3202859824989539E-3</v>
          </cell>
        </row>
        <row r="803">
          <cell r="A803" t="str">
            <v>D-RHNM_NKEV_GAS_ELC_CHP</v>
          </cell>
          <cell r="B803" t="str">
            <v>VAR_fout</v>
          </cell>
          <cell r="C803" t="str">
            <v>ELC5</v>
          </cell>
          <cell r="H803">
            <v>1.5697188205586713E-3</v>
          </cell>
          <cell r="I803">
            <v>7.6620943351076571E-4</v>
          </cell>
        </row>
        <row r="804">
          <cell r="A804" t="str">
            <v>D-RHNM_NKEV_GAS_ELC_CHP</v>
          </cell>
          <cell r="B804" t="str">
            <v>VAR_fout</v>
          </cell>
          <cell r="C804" t="str">
            <v>RHNM_ELC</v>
          </cell>
          <cell r="H804">
            <v>4.6676455048484224E-3</v>
          </cell>
          <cell r="I804">
            <v>1.1064090349130415E-3</v>
          </cell>
        </row>
        <row r="805">
          <cell r="A805" t="str">
            <v>D-RHNM_NKEV_GAS_ELC_CHP</v>
          </cell>
          <cell r="B805" t="str">
            <v>VAR_fin</v>
          </cell>
          <cell r="C805" t="str">
            <v>RHNM_NKEV_GAS_ELC_CHP</v>
          </cell>
          <cell r="H805">
            <v>6.1892543057941842E-3</v>
          </cell>
          <cell r="I805">
            <v>1.8442442860710053E-3</v>
          </cell>
        </row>
        <row r="806">
          <cell r="A806" t="str">
            <v>D-RLFO</v>
          </cell>
          <cell r="B806" t="str">
            <v>VAR_fout</v>
          </cell>
          <cell r="C806" t="str">
            <v>CO2</v>
          </cell>
          <cell r="H806">
            <v>1211.2410472111701</v>
          </cell>
          <cell r="I806">
            <v>514.63735136244702</v>
          </cell>
          <cell r="J806">
            <v>1.2494797604871101E-3</v>
          </cell>
        </row>
        <row r="807">
          <cell r="A807" t="str">
            <v>D-RLFO</v>
          </cell>
          <cell r="B807" t="str">
            <v>VAR_fout</v>
          </cell>
          <cell r="C807" t="str">
            <v>RLFO</v>
          </cell>
          <cell r="H807">
            <v>16.161598788707291</v>
          </cell>
          <cell r="I807">
            <v>6.8671951276302616</v>
          </cell>
          <cell r="J807">
            <v>1.0722831935635693</v>
          </cell>
        </row>
        <row r="808">
          <cell r="A808" t="str">
            <v>D-RLFO</v>
          </cell>
          <cell r="B808" t="str">
            <v>VAR_fin</v>
          </cell>
          <cell r="C808" t="str">
            <v>LFO</v>
          </cell>
          <cell r="H808">
            <v>16.434749622946729</v>
          </cell>
          <cell r="I808">
            <v>6.9828677254063329</v>
          </cell>
          <cell r="J808">
            <v>1.6953592408237569E-5</v>
          </cell>
        </row>
        <row r="809">
          <cell r="A809" t="str">
            <v>D-RLFO</v>
          </cell>
          <cell r="B809" t="str">
            <v>VAR_fin</v>
          </cell>
          <cell r="C809" t="str">
            <v>BDS</v>
          </cell>
          <cell r="H809">
            <v>1.3515796194580884E-3</v>
          </cell>
          <cell r="I809">
            <v>9.6578817794242715E-4</v>
          </cell>
          <cell r="J809">
            <v>1.0904892293727593</v>
          </cell>
        </row>
        <row r="810">
          <cell r="A810" t="str">
            <v>D-SCOM_LTH_CHPBIO</v>
          </cell>
          <cell r="B810" t="str">
            <v>VAR_fout</v>
          </cell>
          <cell r="C810" t="str">
            <v>SCOM_LTH_CHPBIO_ON</v>
          </cell>
        </row>
        <row r="811">
          <cell r="A811" t="str">
            <v>D-SCOM_LTH_CHPBIO</v>
          </cell>
          <cell r="B811" t="str">
            <v>VAR_fout</v>
          </cell>
          <cell r="C811" t="str">
            <v>LTH</v>
          </cell>
        </row>
        <row r="812">
          <cell r="A812" t="str">
            <v>D-SCOM_LTH_CHPBIO</v>
          </cell>
          <cell r="B812" t="str">
            <v>VAR_fin</v>
          </cell>
          <cell r="C812" t="str">
            <v>SCOM_LTH_CHPBIO</v>
          </cell>
        </row>
        <row r="813">
          <cell r="A813" t="str">
            <v>D-SCOM_NKEV_GAS_ELC_CHP</v>
          </cell>
          <cell r="B813" t="str">
            <v>VAR_fout</v>
          </cell>
          <cell r="C813" t="str">
            <v>ELC5</v>
          </cell>
          <cell r="H813">
            <v>1.6596502641695447E-3</v>
          </cell>
          <cell r="I813">
            <v>5.9045666923579314E-4</v>
          </cell>
        </row>
        <row r="814">
          <cell r="A814" t="str">
            <v>D-SCOM_NKEV_GAS_ELC_CHP</v>
          </cell>
          <cell r="B814" t="str">
            <v>VAR_fout</v>
          </cell>
          <cell r="C814" t="str">
            <v>SCOM_ELC</v>
          </cell>
          <cell r="H814">
            <v>6.005919733929688E-3</v>
          </cell>
          <cell r="I814">
            <v>7.9677858573365347E-4</v>
          </cell>
        </row>
        <row r="815">
          <cell r="A815" t="str">
            <v>D-SCOM_NKEV_GAS_ELC_CHP</v>
          </cell>
          <cell r="B815" t="str">
            <v>VAR_fin</v>
          </cell>
          <cell r="C815" t="str">
            <v>SCOM_NKEV_GAS_ELC_CHP</v>
          </cell>
          <cell r="H815">
            <v>7.6212249144166737E-3</v>
          </cell>
          <cell r="I815">
            <v>1.3505853696754529E-3</v>
          </cell>
        </row>
        <row r="816">
          <cell r="A816" t="str">
            <v>RHEM-SHLTHDH</v>
          </cell>
          <cell r="B816" t="str">
            <v>VAR_fout</v>
          </cell>
          <cell r="C816" t="str">
            <v>RHEM-SHLTHD</v>
          </cell>
          <cell r="H816">
            <v>5.4729226737536703</v>
          </cell>
          <cell r="I816">
            <v>5.8011629808657155</v>
          </cell>
          <cell r="J816">
            <v>5.4018774838806554</v>
          </cell>
        </row>
        <row r="817">
          <cell r="A817" t="str">
            <v>RHEM-SHLTHDH</v>
          </cell>
          <cell r="B817" t="str">
            <v>VAR_fin</v>
          </cell>
          <cell r="C817" t="str">
            <v>RHEMLTHDHC</v>
          </cell>
          <cell r="H817">
            <v>5.4729226737536703</v>
          </cell>
          <cell r="I817">
            <v>5.8011629808657155</v>
          </cell>
          <cell r="J817">
            <v>5.4018774838806554</v>
          </cell>
        </row>
        <row r="818">
          <cell r="A818" t="str">
            <v>RHEM-SHLTHDH</v>
          </cell>
          <cell r="B818" t="str">
            <v>VAR_fin</v>
          </cell>
          <cell r="C818" t="str">
            <v>RHEM_LTH_DH</v>
          </cell>
          <cell r="H818">
            <v>6.1328301786164054</v>
          </cell>
          <cell r="I818">
            <v>6.5006486517238322</v>
          </cell>
          <cell r="J818">
            <v>6.0532185870643707</v>
          </cell>
        </row>
        <row r="819">
          <cell r="A819" t="str">
            <v>RHEM-SHLTHDH</v>
          </cell>
          <cell r="B819" t="str">
            <v>VAR_ncap</v>
          </cell>
          <cell r="C819" t="str">
            <v>-</v>
          </cell>
          <cell r="H819">
            <v>7.9826084556855803E-2</v>
          </cell>
          <cell r="I819">
            <v>0.116993971166739</v>
          </cell>
          <cell r="J819">
            <v>0.11032064193364501</v>
          </cell>
        </row>
        <row r="820">
          <cell r="A820" t="str">
            <v>RHEM-SHLTHDH</v>
          </cell>
          <cell r="B820" t="str">
            <v>VAR_cap</v>
          </cell>
          <cell r="C820" t="str">
            <v>-</v>
          </cell>
          <cell r="H820">
            <v>0.39073434803754403</v>
          </cell>
          <cell r="I820">
            <v>0.41025174600448799</v>
          </cell>
          <cell r="J820">
            <v>0.41615012928005612</v>
          </cell>
        </row>
        <row r="821">
          <cell r="A821" t="str">
            <v>D-ITOT_SOLELC</v>
          </cell>
          <cell r="B821" t="str">
            <v>VAR_fout</v>
          </cell>
          <cell r="C821" t="str">
            <v>ITOT_ELC</v>
          </cell>
          <cell r="H821">
            <v>30.141121970856599</v>
          </cell>
          <cell r="I821">
            <v>40.065322801929497</v>
          </cell>
          <cell r="J821">
            <v>43.387281912314201</v>
          </cell>
        </row>
        <row r="822">
          <cell r="A822" t="str">
            <v>D-ITOT_SOLELC</v>
          </cell>
          <cell r="B822" t="str">
            <v>VAR_fout</v>
          </cell>
          <cell r="C822" t="str">
            <v>ELC5</v>
          </cell>
          <cell r="H822">
            <v>2.0407613883875967E-2</v>
          </cell>
          <cell r="I822">
            <v>0.68904896405973715</v>
          </cell>
          <cell r="J822">
            <v>0.63202855806824298</v>
          </cell>
        </row>
        <row r="823">
          <cell r="A823" t="str">
            <v>D-ITOT_SOLELC</v>
          </cell>
          <cell r="B823" t="str">
            <v>VAR_fin</v>
          </cell>
          <cell r="C823" t="str">
            <v>ITOT_SOL_ELC</v>
          </cell>
          <cell r="H823">
            <v>30.161529584740482</v>
          </cell>
          <cell r="I823">
            <v>40.754371765989198</v>
          </cell>
          <cell r="J823">
            <v>44.019310470382443</v>
          </cell>
        </row>
        <row r="824">
          <cell r="A824" t="str">
            <v>D-SWOD</v>
          </cell>
          <cell r="B824" t="str">
            <v>VAR_fout</v>
          </cell>
          <cell r="C824" t="str">
            <v>SWOD</v>
          </cell>
          <cell r="H824">
            <v>8.4453914384393958</v>
          </cell>
          <cell r="I824">
            <v>7.0832253876082296</v>
          </cell>
          <cell r="J824">
            <v>4.7624801614218626</v>
          </cell>
        </row>
        <row r="825">
          <cell r="A825" t="str">
            <v>D-SWOD</v>
          </cell>
          <cell r="B825" t="str">
            <v>VAR_fin</v>
          </cell>
          <cell r="C825" t="str">
            <v>WOD</v>
          </cell>
          <cell r="H825">
            <v>8.4453914384393958</v>
          </cell>
          <cell r="I825">
            <v>7.0832253876082296</v>
          </cell>
          <cell r="J825">
            <v>4.7624801614218626</v>
          </cell>
        </row>
        <row r="826">
          <cell r="A826" t="str">
            <v>ITOT-PROCESSCO2CCS</v>
          </cell>
          <cell r="B826" t="str">
            <v>VAR_fout</v>
          </cell>
          <cell r="C826" t="str">
            <v>CO2_O</v>
          </cell>
          <cell r="I826">
            <v>0.26758354137525586</v>
          </cell>
          <cell r="J826">
            <v>857.65665557011209</v>
          </cell>
        </row>
        <row r="827">
          <cell r="A827" t="str">
            <v>ITOT-PROCESSCO2CCS</v>
          </cell>
          <cell r="B827" t="str">
            <v>VAR_fout</v>
          </cell>
          <cell r="C827" t="str">
            <v>CO2</v>
          </cell>
          <cell r="I827">
            <v>-0.26758354137525597</v>
          </cell>
          <cell r="J827">
            <v>-857.656655570113</v>
          </cell>
        </row>
        <row r="828">
          <cell r="A828" t="str">
            <v>ITOT-PROCESSCO2CCS</v>
          </cell>
          <cell r="B828" t="str">
            <v>VAR_fin</v>
          </cell>
          <cell r="C828" t="str">
            <v>ITOT_ELC</v>
          </cell>
          <cell r="I828">
            <v>5.6664749938289461E-4</v>
          </cell>
          <cell r="J828">
            <v>1.8162140941484748</v>
          </cell>
        </row>
        <row r="829">
          <cell r="A829" t="str">
            <v>ITOT-PROCESSCO2CCS</v>
          </cell>
          <cell r="B829" t="str">
            <v>VAR_fin</v>
          </cell>
          <cell r="C829" t="str">
            <v>ITOT_LTH_DH</v>
          </cell>
          <cell r="I829">
            <v>2.2036291642668106E-4</v>
          </cell>
          <cell r="J829">
            <v>0.70630548105773894</v>
          </cell>
        </row>
        <row r="830">
          <cell r="A830" t="str">
            <v>ITOT-PROCESSCO2CCS</v>
          </cell>
          <cell r="B830" t="str">
            <v>VAR_ncap</v>
          </cell>
          <cell r="C830" t="str">
            <v>-</v>
          </cell>
          <cell r="I830">
            <v>0.76097033609911502</v>
          </cell>
          <cell r="J830">
            <v>2611.8679932518198</v>
          </cell>
        </row>
        <row r="831">
          <cell r="A831" t="str">
            <v>ITOT-PROCESSCO2CCS</v>
          </cell>
          <cell r="B831" t="str">
            <v>VAR_cap</v>
          </cell>
          <cell r="C831" t="str">
            <v>-</v>
          </cell>
          <cell r="I831">
            <v>0.76097033609911502</v>
          </cell>
          <cell r="J831">
            <v>2612.6289635879102</v>
          </cell>
        </row>
        <row r="832">
          <cell r="A832" t="str">
            <v>D-RSH2R</v>
          </cell>
          <cell r="B832" t="str">
            <v>VAR_fout</v>
          </cell>
          <cell r="C832" t="str">
            <v>RSH2</v>
          </cell>
          <cell r="H832">
            <v>5.964975187552513E-4</v>
          </cell>
          <cell r="I832">
            <v>3.9367769266142804E-4</v>
          </cell>
          <cell r="J832">
            <v>3.2161353029640623E-4</v>
          </cell>
        </row>
        <row r="833">
          <cell r="A833" t="str">
            <v>D-RSH2R</v>
          </cell>
          <cell r="B833" t="str">
            <v>VAR_fin</v>
          </cell>
          <cell r="C833" t="str">
            <v>H2</v>
          </cell>
          <cell r="H833">
            <v>5.964975187552513E-4</v>
          </cell>
          <cell r="I833">
            <v>3.9367769266142804E-4</v>
          </cell>
          <cell r="J833">
            <v>3.2161353029640623E-4</v>
          </cell>
        </row>
        <row r="834">
          <cell r="A834" t="str">
            <v>D-RSH2R</v>
          </cell>
          <cell r="B834" t="str">
            <v>VAR_ncap</v>
          </cell>
          <cell r="C834" t="str">
            <v>-</v>
          </cell>
          <cell r="H834">
            <v>9.9885768059360304E-5</v>
          </cell>
          <cell r="I834">
            <v>1.2122955811123101E-4</v>
          </cell>
          <cell r="J834">
            <v>5.0428672022674703E-5</v>
          </cell>
        </row>
        <row r="835">
          <cell r="A835" t="str">
            <v>D-RSH2R</v>
          </cell>
          <cell r="B835" t="str">
            <v>VAR_cap</v>
          </cell>
          <cell r="C835" t="str">
            <v>-</v>
          </cell>
          <cell r="H835">
            <v>1.7650028653367399E-4</v>
          </cell>
          <cell r="I835">
            <v>1.3892151745631401E-4</v>
          </cell>
          <cell r="J835">
            <v>9.1952371409199406E-5</v>
          </cell>
        </row>
        <row r="836">
          <cell r="A836" t="str">
            <v>SCOM-SHLTHCHPBIO</v>
          </cell>
          <cell r="B836" t="str">
            <v>VAR_fout</v>
          </cell>
          <cell r="C836" t="str">
            <v>SCOM-SHLTHC-BIO</v>
          </cell>
        </row>
        <row r="837">
          <cell r="A837" t="str">
            <v>SCOM-SHLTHCHPBIO</v>
          </cell>
          <cell r="B837" t="str">
            <v>VAR_fin</v>
          </cell>
          <cell r="C837" t="str">
            <v>SCOM_LTH_CHPBIO_ON</v>
          </cell>
        </row>
        <row r="838">
          <cell r="A838" t="str">
            <v>SCOM-SHLTHCHPBIO</v>
          </cell>
          <cell r="B838" t="str">
            <v>VAR_fin</v>
          </cell>
          <cell r="C838" t="str">
            <v>SCOMLTHCHPC</v>
          </cell>
        </row>
        <row r="839">
          <cell r="A839" t="str">
            <v>SCOM-SHLTHCHPBIO</v>
          </cell>
          <cell r="B839" t="str">
            <v>VAR_ncap</v>
          </cell>
          <cell r="C839" t="str">
            <v>-</v>
          </cell>
          <cell r="H839">
            <v>5.10135784434078E-2</v>
          </cell>
          <cell r="I839">
            <v>4.2803587706236802E-2</v>
          </cell>
          <cell r="J839">
            <v>5.3169041261184199E-2</v>
          </cell>
        </row>
        <row r="840">
          <cell r="A840" t="str">
            <v>SCOM-SHLTHCHPBIO</v>
          </cell>
          <cell r="B840" t="str">
            <v>VAR_cap</v>
          </cell>
          <cell r="C840" t="str">
            <v>-</v>
          </cell>
          <cell r="H840">
            <v>8.9265518125957399E-2</v>
          </cell>
          <cell r="I840">
            <v>7.7081060639119292E-2</v>
          </cell>
          <cell r="J840">
            <v>7.7081156822029012E-2</v>
          </cell>
        </row>
        <row r="841">
          <cell r="A841" t="str">
            <v>D-RSH2</v>
          </cell>
          <cell r="B841" t="str">
            <v>VAR_fout</v>
          </cell>
          <cell r="C841" t="str">
            <v>RSH2</v>
          </cell>
          <cell r="H841">
            <v>5.4361830643446672E-4</v>
          </cell>
          <cell r="I841">
            <v>3.9202419293190812E-4</v>
          </cell>
          <cell r="J841">
            <v>3.6509757553407189E-4</v>
          </cell>
        </row>
        <row r="842">
          <cell r="A842" t="str">
            <v>D-RSH2</v>
          </cell>
          <cell r="B842" t="str">
            <v>VAR_fin</v>
          </cell>
          <cell r="C842" t="str">
            <v>H2</v>
          </cell>
          <cell r="H842">
            <v>5.477598016267643E-4</v>
          </cell>
          <cell r="I842">
            <v>3.9501078534624523E-4</v>
          </cell>
          <cell r="J842">
            <v>3.6787903052905091E-4</v>
          </cell>
        </row>
        <row r="843">
          <cell r="A843" t="str">
            <v>D-RSH2</v>
          </cell>
          <cell r="B843" t="str">
            <v>VAR_ncap</v>
          </cell>
          <cell r="C843" t="str">
            <v>-</v>
          </cell>
          <cell r="H843">
            <v>4.9468108598341902E-5</v>
          </cell>
          <cell r="I843">
            <v>3.1174478614138602E-6</v>
          </cell>
          <cell r="J843">
            <v>1.61573175766204E-6</v>
          </cell>
        </row>
        <row r="844">
          <cell r="A844" t="str">
            <v>D-RSH2</v>
          </cell>
          <cell r="B844" t="str">
            <v>VAR_cap</v>
          </cell>
          <cell r="C844" t="str">
            <v>-</v>
          </cell>
          <cell r="H844">
            <v>1.7815300602507599E-4</v>
          </cell>
          <cell r="I844">
            <v>1.8127045388649E-4</v>
          </cell>
          <cell r="J844">
            <v>1.8288618564415201E-4</v>
          </cell>
        </row>
        <row r="845">
          <cell r="A845" t="str">
            <v>RHES-SHNGABR</v>
          </cell>
          <cell r="B845" t="str">
            <v>VAR_fout</v>
          </cell>
          <cell r="C845" t="str">
            <v>CO2_R</v>
          </cell>
          <cell r="H845">
            <v>300.57056825910797</v>
          </cell>
          <cell r="I845">
            <v>143.167637529096</v>
          </cell>
          <cell r="J845">
            <v>58.016207665487499</v>
          </cell>
        </row>
        <row r="846">
          <cell r="A846" t="str">
            <v>RHES-SHNGABR</v>
          </cell>
          <cell r="B846" t="str">
            <v>VAR_fout</v>
          </cell>
          <cell r="C846" t="str">
            <v>RHES-SHNGA</v>
          </cell>
          <cell r="H846">
            <v>4.8893339528073545</v>
          </cell>
          <cell r="I846">
            <v>2.3288853435270229</v>
          </cell>
          <cell r="J846">
            <v>0.96310656578111864</v>
          </cell>
        </row>
        <row r="847">
          <cell r="A847" t="str">
            <v>RHES-SHNGABR</v>
          </cell>
          <cell r="B847" t="str">
            <v>VAR_fin</v>
          </cell>
          <cell r="C847" t="str">
            <v>RNGA</v>
          </cell>
          <cell r="H847">
            <v>5.3292653946650281</v>
          </cell>
          <cell r="I847">
            <v>2.5384332895229735</v>
          </cell>
          <cell r="J847">
            <v>1.028656164281694</v>
          </cell>
        </row>
        <row r="848">
          <cell r="A848" t="str">
            <v>RHES-SHNGABR</v>
          </cell>
          <cell r="B848" t="str">
            <v>VAR_ncap</v>
          </cell>
          <cell r="C848" t="str">
            <v>-</v>
          </cell>
          <cell r="H848">
            <v>1.51494244379448E-2</v>
          </cell>
          <cell r="I848">
            <v>0.173359529673835</v>
          </cell>
          <cell r="J848">
            <v>2.47693774032244E-7</v>
          </cell>
        </row>
        <row r="849">
          <cell r="A849" t="str">
            <v>RHES-SHNGABR</v>
          </cell>
          <cell r="B849" t="str">
            <v>VAR_cap</v>
          </cell>
          <cell r="C849" t="str">
            <v>-</v>
          </cell>
          <cell r="H849">
            <v>0.39563685946219013</v>
          </cell>
          <cell r="I849">
            <v>0.18850869602035628</v>
          </cell>
          <cell r="J849">
            <v>8.2783102873156711E-2</v>
          </cell>
        </row>
        <row r="850">
          <cell r="A850" t="str">
            <v>SCOM-SHLTHCHPHFC</v>
          </cell>
          <cell r="B850" t="str">
            <v>VAR_ncap</v>
          </cell>
          <cell r="C850" t="str">
            <v>-</v>
          </cell>
          <cell r="H850">
            <v>1.86257831527984E-4</v>
          </cell>
          <cell r="I850">
            <v>2.9527041575740798E-4</v>
          </cell>
          <cell r="J850">
            <v>2.9645307939277899E-4</v>
          </cell>
        </row>
        <row r="851">
          <cell r="A851" t="str">
            <v>SCOM-SHLTHCHPHFC</v>
          </cell>
          <cell r="B851" t="str">
            <v>VAR_cap</v>
          </cell>
          <cell r="C851" t="str">
            <v>-</v>
          </cell>
          <cell r="H851">
            <v>2.3986266773979399E-4</v>
          </cell>
          <cell r="I851">
            <v>3.90629432337508E-4</v>
          </cell>
          <cell r="J851">
            <v>3.9683762501140904E-4</v>
          </cell>
        </row>
        <row r="852">
          <cell r="A852" t="str">
            <v>RHSA-WHNGABR</v>
          </cell>
          <cell r="B852" t="str">
            <v>VAR_fout</v>
          </cell>
          <cell r="C852" t="str">
            <v>RHSA-WHNGA</v>
          </cell>
          <cell r="H852">
            <v>2.4390946731864882</v>
          </cell>
          <cell r="I852">
            <v>1.5003220088955793</v>
          </cell>
          <cell r="J852">
            <v>0.70544155671002751</v>
          </cell>
        </row>
        <row r="853">
          <cell r="A853" t="str">
            <v>RHSA-WHNGABR</v>
          </cell>
          <cell r="B853" t="str">
            <v>VAR_fout</v>
          </cell>
          <cell r="C853" t="str">
            <v>CO2_R</v>
          </cell>
          <cell r="H853">
            <v>245.65299066067999</v>
          </cell>
          <cell r="I853">
            <v>151.10466702702601</v>
          </cell>
          <cell r="J853">
            <v>70.472557758157507</v>
          </cell>
        </row>
        <row r="854">
          <cell r="A854" t="str">
            <v>RHSA-WHNGABR</v>
          </cell>
          <cell r="B854" t="str">
            <v>VAR_fin</v>
          </cell>
          <cell r="C854" t="str">
            <v>RNGA</v>
          </cell>
          <cell r="H854">
            <v>4.3555494797992864</v>
          </cell>
          <cell r="I854">
            <v>2.6791607628905401</v>
          </cell>
          <cell r="J854">
            <v>1.2495134354283246</v>
          </cell>
        </row>
        <row r="855">
          <cell r="A855" t="str">
            <v>RHSA-WHNGABR</v>
          </cell>
          <cell r="B855" t="str">
            <v>VAR_ncap</v>
          </cell>
          <cell r="C855" t="str">
            <v>-</v>
          </cell>
          <cell r="H855">
            <v>5.3771495199597702E-2</v>
          </cell>
          <cell r="I855">
            <v>5.3887249553216901E-2</v>
          </cell>
          <cell r="J855">
            <v>1.4505479898651099E-6</v>
          </cell>
        </row>
        <row r="856">
          <cell r="A856" t="str">
            <v>RHSA-WHNGABR</v>
          </cell>
          <cell r="B856" t="str">
            <v>VAR_cap</v>
          </cell>
          <cell r="C856" t="str">
            <v>-</v>
          </cell>
          <cell r="H856">
            <v>0.16684030968700181</v>
          </cell>
          <cell r="I856">
            <v>0.10765767598368173</v>
          </cell>
          <cell r="J856">
            <v>6.1853178258632228E-2</v>
          </cell>
        </row>
        <row r="857">
          <cell r="A857" t="str">
            <v>ITOT-SWHWSTBR</v>
          </cell>
          <cell r="B857" t="str">
            <v>VAR_fout</v>
          </cell>
          <cell r="C857" t="str">
            <v>ITOT-SWH</v>
          </cell>
          <cell r="H857">
            <v>5.6801488153698356</v>
          </cell>
          <cell r="I857">
            <v>4.4406326320534033</v>
          </cell>
          <cell r="J857">
            <v>2.9376028313035794</v>
          </cell>
        </row>
        <row r="858">
          <cell r="A858" t="str">
            <v>ITOT-SWHWSTBR</v>
          </cell>
          <cell r="B858" t="str">
            <v>VAR_fout</v>
          </cell>
          <cell r="C858" t="str">
            <v>CO2_I</v>
          </cell>
          <cell r="H858">
            <v>998.32918573166899</v>
          </cell>
          <cell r="I858">
            <v>780.47482623968904</v>
          </cell>
          <cell r="J858">
            <v>501.12048298708203</v>
          </cell>
        </row>
        <row r="859">
          <cell r="A859" t="str">
            <v>ITOT-SWHWSTBR</v>
          </cell>
          <cell r="B859" t="str">
            <v>VAR_fin</v>
          </cell>
          <cell r="C859" t="str">
            <v>IWST</v>
          </cell>
          <cell r="H859">
            <v>10.757857604867111</v>
          </cell>
          <cell r="I859">
            <v>8.4102890758587172</v>
          </cell>
          <cell r="J859">
            <v>5.4000052046021674</v>
          </cell>
        </row>
        <row r="860">
          <cell r="A860" t="str">
            <v>ITOT-SWHWSTBR</v>
          </cell>
          <cell r="B860" t="str">
            <v>VAR_ncap</v>
          </cell>
          <cell r="C860" t="str">
            <v>-</v>
          </cell>
          <cell r="H860">
            <v>0.23956615496184999</v>
          </cell>
          <cell r="I860">
            <v>8.2407784699575798E-2</v>
          </cell>
          <cell r="J860">
            <v>4.8162949625178697E-2</v>
          </cell>
        </row>
        <row r="861">
          <cell r="A861" t="str">
            <v>ITOT-SWHWSTBR</v>
          </cell>
          <cell r="B861" t="str">
            <v>VAR_cap</v>
          </cell>
          <cell r="C861" t="str">
            <v>-</v>
          </cell>
          <cell r="H861">
            <v>0.33293661578895001</v>
          </cell>
          <cell r="I861">
            <v>0.32197030942606009</v>
          </cell>
          <cell r="J861">
            <v>0.20924669349604255</v>
          </cell>
        </row>
        <row r="862">
          <cell r="A862" t="str">
            <v>SCOM-SHSTG-ELC</v>
          </cell>
          <cell r="B862" t="str">
            <v>VAR_fout</v>
          </cell>
          <cell r="C862" t="str">
            <v>SCOM-SHAELCB</v>
          </cell>
          <cell r="H862">
            <v>5.0419276785968175E-5</v>
          </cell>
          <cell r="I862">
            <v>4.8716689296473089E-5</v>
          </cell>
          <cell r="J862">
            <v>1.0486611064117461E-5</v>
          </cell>
        </row>
        <row r="863">
          <cell r="A863" t="str">
            <v>SCOM-SHSTG-ELC</v>
          </cell>
          <cell r="B863" t="str">
            <v>VAR_fin</v>
          </cell>
          <cell r="C863" t="str">
            <v>SCOM-SHAELCB</v>
          </cell>
          <cell r="H863">
            <v>5.6464967887610168E-5</v>
          </cell>
          <cell r="I863">
            <v>5.7279159473460863E-5</v>
          </cell>
          <cell r="J863">
            <v>1.1042601237632267E-5</v>
          </cell>
        </row>
        <row r="864">
          <cell r="A864" t="str">
            <v>SCOM-SHSTG-ELC</v>
          </cell>
          <cell r="B864" t="str">
            <v>VAR_ncap</v>
          </cell>
          <cell r="C864" t="str">
            <v>-</v>
          </cell>
          <cell r="H864">
            <v>5.3522847792070996E-3</v>
          </cell>
          <cell r="I864">
            <v>5.4606506694294802E-4</v>
          </cell>
          <cell r="J864">
            <v>1.7065497237445601E-3</v>
          </cell>
        </row>
        <row r="865">
          <cell r="A865" t="str">
            <v>SCOM-SHSTG-ELC</v>
          </cell>
          <cell r="B865" t="str">
            <v>VAR_cap</v>
          </cell>
          <cell r="C865" t="str">
            <v>-</v>
          </cell>
          <cell r="H865">
            <v>8.0306739310704207E-3</v>
          </cell>
          <cell r="I865">
            <v>5.8474766794587175E-3</v>
          </cell>
          <cell r="J865">
            <v>4.2645342031507674E-3</v>
          </cell>
        </row>
        <row r="866">
          <cell r="A866" t="str">
            <v>SCOM-SHNGABR</v>
          </cell>
          <cell r="B866" t="str">
            <v>VAR_fout</v>
          </cell>
          <cell r="C866" t="str">
            <v>CO2_S</v>
          </cell>
          <cell r="H866">
            <v>634.929789387494</v>
          </cell>
          <cell r="I866">
            <v>336.51819093360302</v>
          </cell>
          <cell r="J866">
            <v>127.192224620601</v>
          </cell>
        </row>
        <row r="867">
          <cell r="A867" t="str">
            <v>SCOM-SHNGABR</v>
          </cell>
          <cell r="B867" t="str">
            <v>VAR_fout</v>
          </cell>
          <cell r="C867" t="str">
            <v>SCOM-SHNGA</v>
          </cell>
          <cell r="H867">
            <v>9.7587058941971989</v>
          </cell>
          <cell r="I867">
            <v>5.1721971598408247</v>
          </cell>
          <cell r="J867">
            <v>1.9549114450882943</v>
          </cell>
        </row>
        <row r="868">
          <cell r="A868" t="str">
            <v>SCOM-SHNGABR</v>
          </cell>
          <cell r="B868" t="str">
            <v>VAR_fin</v>
          </cell>
          <cell r="C868" t="str">
            <v>SNGA</v>
          </cell>
          <cell r="H868">
            <v>11.257620379210875</v>
          </cell>
          <cell r="I868">
            <v>5.9666345910213279</v>
          </cell>
          <cell r="J868">
            <v>2.2551812875993056</v>
          </cell>
        </row>
        <row r="869">
          <cell r="A869" t="str">
            <v>SCOM-SHNGABR</v>
          </cell>
          <cell r="B869" t="str">
            <v>VAR_ncap</v>
          </cell>
          <cell r="C869" t="str">
            <v>-</v>
          </cell>
          <cell r="H869">
            <v>0.48968919931621102</v>
          </cell>
          <cell r="I869">
            <v>5.3492658524489901E-2</v>
          </cell>
          <cell r="J869">
            <v>1.4346812466433599E-5</v>
          </cell>
        </row>
        <row r="870">
          <cell r="A870" t="str">
            <v>SCOM-SHNGABR</v>
          </cell>
          <cell r="B870" t="str">
            <v>VAR_cap</v>
          </cell>
          <cell r="C870" t="str">
            <v>-</v>
          </cell>
          <cell r="H870">
            <v>1.1330573148069676</v>
          </cell>
          <cell r="I870">
            <v>0.54318023485127231</v>
          </cell>
          <cell r="J870">
            <v>0.24596882369208944</v>
          </cell>
        </row>
        <row r="871">
          <cell r="A871" t="str">
            <v>RHEM-SHELCHP</v>
          </cell>
          <cell r="B871" t="str">
            <v>VAR_fout</v>
          </cell>
          <cell r="C871" t="str">
            <v>RHEM-SHAELCH</v>
          </cell>
          <cell r="H871">
            <v>18.239668737041804</v>
          </cell>
          <cell r="I871">
            <v>22.558328763607296</v>
          </cell>
          <cell r="J871">
            <v>23.249325284281039</v>
          </cell>
        </row>
        <row r="872">
          <cell r="A872" t="str">
            <v>RHEM-SHELCHP</v>
          </cell>
          <cell r="B872" t="str">
            <v>VAR_fin</v>
          </cell>
          <cell r="C872" t="str">
            <v>RHEMELCHPC</v>
          </cell>
          <cell r="H872">
            <v>18.239668737041804</v>
          </cell>
          <cell r="I872">
            <v>22.558328763607296</v>
          </cell>
          <cell r="J872">
            <v>23.249325284281039</v>
          </cell>
        </row>
        <row r="873">
          <cell r="A873" t="str">
            <v>RHEM-SHELCHP</v>
          </cell>
          <cell r="B873" t="str">
            <v>VAR_fin</v>
          </cell>
          <cell r="C873" t="str">
            <v>RHEM_ELC</v>
          </cell>
          <cell r="H873">
            <v>5.1035503664539927</v>
          </cell>
          <cell r="I873">
            <v>5.9640620118421372</v>
          </cell>
          <cell r="J873">
            <v>5.6135136294149488</v>
          </cell>
        </row>
        <row r="874">
          <cell r="A874" t="str">
            <v>RHEM-SHELCHP</v>
          </cell>
          <cell r="B874" t="str">
            <v>VAR_ncap</v>
          </cell>
          <cell r="C874" t="str">
            <v>-</v>
          </cell>
          <cell r="H874">
            <v>0.81221556622443303</v>
          </cell>
          <cell r="I874">
            <v>0.62293708295269601</v>
          </cell>
          <cell r="J874">
            <v>0.84661651648742098</v>
          </cell>
        </row>
        <row r="875">
          <cell r="A875" t="str">
            <v>RHEM-SHELCHP</v>
          </cell>
          <cell r="B875" t="str">
            <v>VAR_cap</v>
          </cell>
          <cell r="C875" t="str">
            <v>-</v>
          </cell>
          <cell r="H875">
            <v>1.2880332878744714</v>
          </cell>
          <cell r="I875">
            <v>1.5929698401127379</v>
          </cell>
          <cell r="J875">
            <v>1.6422653772616878</v>
          </cell>
        </row>
        <row r="876">
          <cell r="A876" t="str">
            <v>RHNM-SHSTG-ELC</v>
          </cell>
          <cell r="B876" t="str">
            <v>VAR_fout</v>
          </cell>
          <cell r="C876" t="str">
            <v>RHNM-SHAELCB</v>
          </cell>
          <cell r="H876">
            <v>3.1899914139788763E-4</v>
          </cell>
          <cell r="I876">
            <v>8.3834140346589843E-4</v>
          </cell>
          <cell r="J876">
            <v>4.125159071171439E-4</v>
          </cell>
        </row>
        <row r="877">
          <cell r="A877" t="str">
            <v>RHNM-SHSTG-ELC</v>
          </cell>
          <cell r="B877" t="str">
            <v>VAR_fout</v>
          </cell>
          <cell r="C877" t="str">
            <v>AUX_RHNM-SHSTG-ELC_OUT</v>
          </cell>
          <cell r="H877">
            <v>3.1931814053928558E-4</v>
          </cell>
          <cell r="I877">
            <v>8.3917974486936357E-4</v>
          </cell>
          <cell r="J877">
            <v>4.129284230242612E-4</v>
          </cell>
        </row>
        <row r="878">
          <cell r="A878" t="str">
            <v>RHNM-SHSTG-ELC</v>
          </cell>
          <cell r="B878" t="str">
            <v>VAR_fin</v>
          </cell>
          <cell r="C878" t="str">
            <v>RHNM-SHAELCB</v>
          </cell>
          <cell r="H878">
            <v>3.128956213145862E-4</v>
          </cell>
          <cell r="I878">
            <v>8.2717368558184797E-4</v>
          </cell>
          <cell r="J878">
            <v>4.1188497832146936E-4</v>
          </cell>
        </row>
        <row r="879">
          <cell r="A879" t="str">
            <v>RHNM-SHSTG-ELC</v>
          </cell>
          <cell r="B879" t="str">
            <v>VAR_ncap</v>
          </cell>
          <cell r="C879" t="str">
            <v>-</v>
          </cell>
          <cell r="H879">
            <v>3.1308648447513499E-4</v>
          </cell>
          <cell r="I879">
            <v>8.9320987353490097E-5</v>
          </cell>
          <cell r="J879">
            <v>6.7185981034094294E-5</v>
          </cell>
        </row>
        <row r="880">
          <cell r="A880" t="str">
            <v>RHNM-SHSTG-ELC</v>
          </cell>
          <cell r="B880" t="str">
            <v>VAR_cap</v>
          </cell>
          <cell r="C880" t="str">
            <v>-</v>
          </cell>
          <cell r="H880">
            <v>1.8051943108609489E-3</v>
          </cell>
          <cell r="I880">
            <v>3.4545330176026002E-4</v>
          </cell>
          <cell r="J880">
            <v>1.4652142001171696E-4</v>
          </cell>
        </row>
        <row r="881">
          <cell r="A881" t="str">
            <v>D-RWOD</v>
          </cell>
          <cell r="B881" t="str">
            <v>VAR_fout</v>
          </cell>
          <cell r="C881" t="str">
            <v>RWOD</v>
          </cell>
          <cell r="H881">
            <v>13.969549812995965</v>
          </cell>
          <cell r="I881">
            <v>12.97037539003283</v>
          </cell>
          <cell r="J881">
            <v>6.8485956113513007</v>
          </cell>
        </row>
        <row r="882">
          <cell r="A882" t="str">
            <v>D-RWOD</v>
          </cell>
          <cell r="B882" t="str">
            <v>VAR_fin</v>
          </cell>
          <cell r="C882" t="str">
            <v>WOD</v>
          </cell>
          <cell r="H882">
            <v>13.969549812995965</v>
          </cell>
          <cell r="I882">
            <v>12.97037539003283</v>
          </cell>
          <cell r="J882">
            <v>6.8485956113513007</v>
          </cell>
        </row>
        <row r="883">
          <cell r="A883" t="str">
            <v>RHNS-SHLTHCHPWOD</v>
          </cell>
          <cell r="B883" t="str">
            <v>VAR_ncap</v>
          </cell>
          <cell r="C883" t="str">
            <v>-</v>
          </cell>
          <cell r="H883">
            <v>6.3869124599399605E-4</v>
          </cell>
          <cell r="I883">
            <v>4.13427080194246E-4</v>
          </cell>
          <cell r="J883">
            <v>1.27122837292959E-4</v>
          </cell>
        </row>
        <row r="884">
          <cell r="A884" t="str">
            <v>RHNS-SHLTHCHPWOD</v>
          </cell>
          <cell r="B884" t="str">
            <v>VAR_cap</v>
          </cell>
          <cell r="C884" t="str">
            <v>-</v>
          </cell>
          <cell r="H884">
            <v>7.7213031813852192E-4</v>
          </cell>
          <cell r="I884">
            <v>7.2727756654997905E-4</v>
          </cell>
          <cell r="J884">
            <v>2.5022882640441996E-4</v>
          </cell>
        </row>
        <row r="885">
          <cell r="A885" t="str">
            <v>RHNM-SHELCBR</v>
          </cell>
          <cell r="B885" t="str">
            <v>VAR_fout</v>
          </cell>
          <cell r="C885" t="str">
            <v>RHNM-SHAELCB</v>
          </cell>
          <cell r="H885">
            <v>1.9857702923248067E-3</v>
          </cell>
          <cell r="I885">
            <v>2.0869852776131933E-3</v>
          </cell>
          <cell r="J885">
            <v>2.1244781763067591E-3</v>
          </cell>
        </row>
        <row r="886">
          <cell r="A886" t="str">
            <v>RHNM-SHELCBR</v>
          </cell>
          <cell r="B886" t="str">
            <v>VAR_fin</v>
          </cell>
          <cell r="C886" t="str">
            <v>RHNM_ELC</v>
          </cell>
          <cell r="H886">
            <v>2.0902845182366385E-3</v>
          </cell>
          <cell r="I886">
            <v>2.1968266080138873E-3</v>
          </cell>
          <cell r="J886">
            <v>2.2362928171650101E-3</v>
          </cell>
        </row>
        <row r="887">
          <cell r="A887" t="str">
            <v>RHNM-SHELCBR</v>
          </cell>
          <cell r="B887" t="str">
            <v>VAR_ncap</v>
          </cell>
          <cell r="C887" t="str">
            <v>-</v>
          </cell>
          <cell r="H887">
            <v>1.4644001780731201E-3</v>
          </cell>
        </row>
        <row r="888">
          <cell r="A888" t="str">
            <v>RHNM-SHELCBR</v>
          </cell>
          <cell r="B888" t="str">
            <v>VAR_cap</v>
          </cell>
          <cell r="C888" t="str">
            <v>-</v>
          </cell>
          <cell r="H888">
            <v>7.6745666983474518E-3</v>
          </cell>
          <cell r="I888">
            <v>1.4636616375185004E-3</v>
          </cell>
          <cell r="J888">
            <v>6.1823998896946169E-4</v>
          </cell>
        </row>
        <row r="889">
          <cell r="A889" t="str">
            <v>RHNS-SHSTG-NGAHP</v>
          </cell>
          <cell r="B889" t="str">
            <v>VAR_fout</v>
          </cell>
          <cell r="C889" t="str">
            <v>RHNS-SHANGAH</v>
          </cell>
          <cell r="H889">
            <v>4.9672290994986941E-2</v>
          </cell>
          <cell r="I889">
            <v>7.5210492406511703E-2</v>
          </cell>
          <cell r="J889">
            <v>7.9146640742892738E-2</v>
          </cell>
        </row>
        <row r="890">
          <cell r="A890" t="str">
            <v>RHNS-SHSTG-NGAHP</v>
          </cell>
          <cell r="B890" t="str">
            <v>VAR_fout</v>
          </cell>
          <cell r="C890" t="str">
            <v>AUX_RHNS-SHSTG-NGAHP_OUT</v>
          </cell>
          <cell r="H890">
            <v>4.9721963285981975E-2</v>
          </cell>
          <cell r="I890">
            <v>7.5285702898918172E-2</v>
          </cell>
          <cell r="J890">
            <v>7.9225787383635587E-2</v>
          </cell>
        </row>
        <row r="891">
          <cell r="A891" t="str">
            <v>RHNS-SHSTG-NGAHP</v>
          </cell>
          <cell r="B891" t="str">
            <v>VAR_fin</v>
          </cell>
          <cell r="C891" t="str">
            <v>RHNS-SHANGAH</v>
          </cell>
          <cell r="H891">
            <v>4.9716910370408603E-2</v>
          </cell>
          <cell r="I891">
            <v>7.5246411473402108E-2</v>
          </cell>
          <cell r="J891">
            <v>7.9192697331884651E-2</v>
          </cell>
        </row>
        <row r="892">
          <cell r="A892" t="str">
            <v>RHNS-SHSTG-NGAHP</v>
          </cell>
          <cell r="B892" t="str">
            <v>VAR_ncap</v>
          </cell>
          <cell r="C892" t="str">
            <v>-</v>
          </cell>
          <cell r="H892">
            <v>6.1689159392684604E-3</v>
          </cell>
          <cell r="I892">
            <v>6.2288098322511197E-3</v>
          </cell>
          <cell r="J892">
            <v>1.0764270167348799E-2</v>
          </cell>
        </row>
        <row r="893">
          <cell r="A893" t="str">
            <v>RHNS-SHSTG-NGAHP</v>
          </cell>
          <cell r="B893" t="str">
            <v>VAR_cap</v>
          </cell>
          <cell r="C893" t="str">
            <v>-</v>
          </cell>
          <cell r="H893">
            <v>1.3074893646450408E-2</v>
          </cell>
          <cell r="I893">
            <v>1.5823566238310924E-2</v>
          </cell>
          <cell r="J893">
            <v>1.7823418216204603E-2</v>
          </cell>
        </row>
        <row r="894">
          <cell r="A894" t="str">
            <v>RHNS-SHLTHDH</v>
          </cell>
          <cell r="B894" t="str">
            <v>VAR_fout</v>
          </cell>
          <cell r="C894" t="str">
            <v>RHNS-SHLTHD</v>
          </cell>
          <cell r="H894">
            <v>0.17005707120866487</v>
          </cell>
          <cell r="I894">
            <v>0.18358515526581479</v>
          </cell>
          <cell r="J894">
            <v>0.20829442955972566</v>
          </cell>
        </row>
        <row r="895">
          <cell r="A895" t="str">
            <v>RHNS-SHLTHDH</v>
          </cell>
          <cell r="B895" t="str">
            <v>VAR_fin</v>
          </cell>
          <cell r="C895" t="str">
            <v>RHNS_LTH_DH</v>
          </cell>
          <cell r="H895">
            <v>0.1869206477244158</v>
          </cell>
          <cell r="I895">
            <v>0.20169772465285521</v>
          </cell>
          <cell r="J895">
            <v>0.22874519195176798</v>
          </cell>
        </row>
        <row r="896">
          <cell r="A896" t="str">
            <v>RHNS-SHLTHDH</v>
          </cell>
          <cell r="B896" t="str">
            <v>VAR_fin</v>
          </cell>
          <cell r="C896" t="str">
            <v>RHNSLTHDHC</v>
          </cell>
          <cell r="H896">
            <v>0.17005707120866487</v>
          </cell>
          <cell r="I896">
            <v>0.18358515526581479</v>
          </cell>
          <cell r="J896">
            <v>0.20829442955972566</v>
          </cell>
        </row>
        <row r="897">
          <cell r="A897" t="str">
            <v>RHNS-SHLTHDH</v>
          </cell>
          <cell r="B897" t="str">
            <v>VAR_ncap</v>
          </cell>
          <cell r="C897" t="str">
            <v>-</v>
          </cell>
          <cell r="H897">
            <v>1.33760618219242E-2</v>
          </cell>
          <cell r="I897">
            <v>8.5950316203745498E-3</v>
          </cell>
          <cell r="J897">
            <v>8.3670636473021694E-3</v>
          </cell>
        </row>
        <row r="898">
          <cell r="A898" t="str">
            <v>RHNS-SHLTHDH</v>
          </cell>
          <cell r="B898" t="str">
            <v>VAR_cap</v>
          </cell>
          <cell r="C898" t="str">
            <v>-</v>
          </cell>
          <cell r="H898">
            <v>2.2476119064934998E-2</v>
          </cell>
          <cell r="I898">
            <v>1.8475582314567106E-2</v>
          </cell>
          <cell r="J898">
            <v>1.6930015322259698E-2</v>
          </cell>
        </row>
        <row r="899">
          <cell r="A899" t="str">
            <v>ITOT-SWHNGAHP</v>
          </cell>
          <cell r="B899" t="str">
            <v>VAR_fout</v>
          </cell>
          <cell r="C899" t="str">
            <v>ITOT-SWHANGAH</v>
          </cell>
          <cell r="H899">
            <v>5.4428437596038539E-3</v>
          </cell>
          <cell r="I899">
            <v>2.8551594551179836E-3</v>
          </cell>
          <cell r="J899">
            <v>1.711206315847854E-3</v>
          </cell>
        </row>
        <row r="900">
          <cell r="A900" t="str">
            <v>ITOT-SWHNGAHP</v>
          </cell>
          <cell r="B900" t="str">
            <v>VAR_fout</v>
          </cell>
          <cell r="C900" t="str">
            <v>CO2_I</v>
          </cell>
          <cell r="H900">
            <v>0.15669288173064699</v>
          </cell>
          <cell r="I900">
            <v>8.0679603777718698E-2</v>
          </cell>
          <cell r="J900">
            <v>4.6633098475637499E-2</v>
          </cell>
        </row>
        <row r="901">
          <cell r="A901" t="str">
            <v>ITOT-SWHNGAHP</v>
          </cell>
          <cell r="B901" t="str">
            <v>VAR_fin</v>
          </cell>
          <cell r="C901" t="str">
            <v>ITOTELCHPC</v>
          </cell>
          <cell r="H901">
            <v>5.4428437596038539E-3</v>
          </cell>
          <cell r="I901">
            <v>2.8551594551179836E-3</v>
          </cell>
          <cell r="J901">
            <v>1.711206315847854E-3</v>
          </cell>
        </row>
        <row r="902">
          <cell r="A902" t="str">
            <v>ITOT-SWHNGAHP</v>
          </cell>
          <cell r="B902" t="str">
            <v>VAR_fin</v>
          </cell>
          <cell r="C902" t="str">
            <v>INGA</v>
          </cell>
          <cell r="H902">
            <v>2.7782425838767167E-3</v>
          </cell>
          <cell r="I902">
            <v>1.4304894286829555E-3</v>
          </cell>
          <cell r="J902">
            <v>8.2682798715669355E-4</v>
          </cell>
        </row>
        <row r="903">
          <cell r="A903" t="str">
            <v>ITOT-SWHNGAHP</v>
          </cell>
          <cell r="B903" t="str">
            <v>VAR_ncap</v>
          </cell>
          <cell r="C903" t="str">
            <v>-</v>
          </cell>
          <cell r="H903">
            <v>3.0802821656716298E-4</v>
          </cell>
          <cell r="I903">
            <v>2.1421786259565402E-6</v>
          </cell>
          <cell r="J903">
            <v>4.7469314835204499E-5</v>
          </cell>
        </row>
        <row r="904">
          <cell r="A904" t="str">
            <v>ITOT-SWHNGAHP</v>
          </cell>
          <cell r="B904" t="str">
            <v>VAR_cap</v>
          </cell>
          <cell r="C904" t="str">
            <v>-</v>
          </cell>
          <cell r="H904">
            <v>5.1903115334687609E-4</v>
          </cell>
          <cell r="I904">
            <v>3.0238516101658311E-4</v>
          </cell>
          <cell r="J904">
            <v>1.733379706612195E-4</v>
          </cell>
        </row>
        <row r="905">
          <cell r="A905" t="str">
            <v>RHSA-WHLFOBR</v>
          </cell>
          <cell r="B905" t="str">
            <v>VAR_fout</v>
          </cell>
          <cell r="C905" t="str">
            <v>CO2_R</v>
          </cell>
          <cell r="H905">
            <v>207.24534672187499</v>
          </cell>
          <cell r="I905">
            <v>116.899841651234</v>
          </cell>
          <cell r="J905">
            <v>18.910316880540101</v>
          </cell>
        </row>
        <row r="906">
          <cell r="A906" t="str">
            <v>RHSA-WHLFOBR</v>
          </cell>
          <cell r="B906" t="str">
            <v>VAR_fout</v>
          </cell>
          <cell r="C906" t="str">
            <v>RHSA-WHLFO</v>
          </cell>
          <cell r="H906">
            <v>1.5539177773554615</v>
          </cell>
          <cell r="I906">
            <v>0.8931987229689814</v>
          </cell>
          <cell r="J906">
            <v>0.15121379051019357</v>
          </cell>
        </row>
        <row r="907">
          <cell r="A907" t="str">
            <v>RHSA-WHLFOBR</v>
          </cell>
          <cell r="B907" t="str">
            <v>VAR_fin</v>
          </cell>
          <cell r="C907" t="str">
            <v>RLFO</v>
          </cell>
          <cell r="H907">
            <v>2.8120128456156683</v>
          </cell>
          <cell r="I907">
            <v>1.5861579599896038</v>
          </cell>
          <cell r="J907">
            <v>0.25658503230040852</v>
          </cell>
        </row>
        <row r="908">
          <cell r="A908" t="str">
            <v>RHSA-WHLFOBR</v>
          </cell>
          <cell r="B908" t="str">
            <v>VAR_ncap</v>
          </cell>
          <cell r="C908" t="str">
            <v>-</v>
          </cell>
          <cell r="H908">
            <v>4.2231723691140997E-2</v>
          </cell>
          <cell r="I908">
            <v>1.88401588663074E-2</v>
          </cell>
        </row>
        <row r="909">
          <cell r="A909" t="str">
            <v>RHSA-WHLFOBR</v>
          </cell>
          <cell r="B909" t="str">
            <v>VAR_cap</v>
          </cell>
          <cell r="C909" t="str">
            <v>-</v>
          </cell>
          <cell r="H909">
            <v>0.10876479108589339</v>
          </cell>
          <cell r="I909">
            <v>6.107146459551651E-2</v>
          </cell>
          <cell r="J909">
            <v>1.4956301821470497E-2</v>
          </cell>
        </row>
        <row r="910">
          <cell r="A910" t="str">
            <v>D-IWST</v>
          </cell>
          <cell r="B910" t="str">
            <v>VAR_fout</v>
          </cell>
          <cell r="C910" t="str">
            <v>CO2</v>
          </cell>
          <cell r="H910">
            <v>1001.75545050703</v>
          </cell>
          <cell r="I910">
            <v>1073.77992395613</v>
          </cell>
          <cell r="J910">
            <v>986.589397313581</v>
          </cell>
        </row>
        <row r="911">
          <cell r="A911" t="str">
            <v>D-IWST</v>
          </cell>
          <cell r="B911" t="str">
            <v>VAR_fout</v>
          </cell>
          <cell r="C911" t="str">
            <v>IWST</v>
          </cell>
          <cell r="H911">
            <v>10.794778561498122</v>
          </cell>
          <cell r="I911">
            <v>11.570904352975569</v>
          </cell>
          <cell r="J911">
            <v>10.631351264154953</v>
          </cell>
        </row>
        <row r="912">
          <cell r="A912" t="str">
            <v>D-IWST</v>
          </cell>
          <cell r="B912" t="str">
            <v>VAR_fin</v>
          </cell>
          <cell r="C912" t="str">
            <v>WSTNREN</v>
          </cell>
          <cell r="H912">
            <v>10.794778561498122</v>
          </cell>
          <cell r="I912">
            <v>11.570904352975569</v>
          </cell>
          <cell r="J912">
            <v>10.631351264154953</v>
          </cell>
        </row>
        <row r="913">
          <cell r="A913" t="str">
            <v>RHES-SHLFOBR</v>
          </cell>
          <cell r="B913" t="str">
            <v>VAR_fout</v>
          </cell>
          <cell r="C913" t="str">
            <v>CO2_R</v>
          </cell>
          <cell r="H913">
            <v>356.13894539153802</v>
          </cell>
          <cell r="I913">
            <v>124.069041557353</v>
          </cell>
          <cell r="J913">
            <v>16.197421905623401</v>
          </cell>
        </row>
        <row r="914">
          <cell r="A914" t="str">
            <v>RHES-SHLFOBR</v>
          </cell>
          <cell r="B914" t="str">
            <v>VAR_fout</v>
          </cell>
          <cell r="C914" t="str">
            <v>RHES-SHLFO</v>
          </cell>
          <cell r="H914">
            <v>4.1871107791412721</v>
          </cell>
          <cell r="I914">
            <v>1.4568047352695488</v>
          </cell>
          <cell r="J914">
            <v>0.19059887147888385</v>
          </cell>
        </row>
        <row r="915">
          <cell r="A915" t="str">
            <v>RHES-SHLFOBR</v>
          </cell>
          <cell r="B915" t="str">
            <v>VAR_fin</v>
          </cell>
          <cell r="C915" t="str">
            <v>RLFO</v>
          </cell>
          <cell r="H915">
            <v>4.8322787705771812</v>
          </cell>
          <cell r="I915">
            <v>1.6834333996927084</v>
          </cell>
          <cell r="J915">
            <v>0.21977505977779299</v>
          </cell>
        </row>
        <row r="916">
          <cell r="A916" t="str">
            <v>RHES-SHLFOBR</v>
          </cell>
          <cell r="B916" t="str">
            <v>VAR_ncap</v>
          </cell>
          <cell r="C916" t="str">
            <v>-</v>
          </cell>
          <cell r="H916">
            <v>1.5861433882276298E-2</v>
          </cell>
          <cell r="I916">
            <v>0.101869939964929</v>
          </cell>
          <cell r="J916">
            <v>1.6358696309481599E-7</v>
          </cell>
        </row>
        <row r="917">
          <cell r="A917" t="str">
            <v>RHES-SHLFOBR</v>
          </cell>
          <cell r="B917" t="str">
            <v>VAR_cap</v>
          </cell>
          <cell r="C917" t="str">
            <v>-</v>
          </cell>
          <cell r="H917">
            <v>0.3386155330710352</v>
          </cell>
          <cell r="I917">
            <v>0.11773107685359084</v>
          </cell>
          <cell r="J917">
            <v>2.1164122158486003E-2</v>
          </cell>
        </row>
        <row r="918">
          <cell r="A918" t="str">
            <v>ITOT-SWHSTG</v>
          </cell>
          <cell r="B918" t="str">
            <v>VAR_fout</v>
          </cell>
          <cell r="C918" t="str">
            <v>ITOT-SWH</v>
          </cell>
          <cell r="H918">
            <v>8.8072511193932439E-3</v>
          </cell>
          <cell r="I918">
            <v>0.21328218198533466</v>
          </cell>
          <cell r="J918">
            <v>1.4178997554174031</v>
          </cell>
        </row>
        <row r="919">
          <cell r="A919" t="str">
            <v>ITOT-SWHSTG</v>
          </cell>
          <cell r="B919" t="str">
            <v>VAR_fout</v>
          </cell>
          <cell r="C919" t="str">
            <v>AUX_ITOT-STG_OUT</v>
          </cell>
          <cell r="H919">
            <v>8.7974652848161524E-3</v>
          </cell>
          <cell r="I919">
            <v>0.21328218198533488</v>
          </cell>
          <cell r="J919">
            <v>1.4178997554174031</v>
          </cell>
        </row>
        <row r="920">
          <cell r="A920" t="str">
            <v>ITOT-SWHSTG</v>
          </cell>
          <cell r="B920" t="str">
            <v>VAR_fin</v>
          </cell>
          <cell r="C920" t="str">
            <v>AUX_ITOT-STG_IN</v>
          </cell>
          <cell r="H920">
            <v>9.7858343127041371E-3</v>
          </cell>
          <cell r="I920">
            <v>0.22933567459118748</v>
          </cell>
          <cell r="J920">
            <v>1.4322219834811589</v>
          </cell>
        </row>
        <row r="921">
          <cell r="A921" t="str">
            <v>ITOT-SWHSTG</v>
          </cell>
          <cell r="B921" t="str">
            <v>VAR_fin</v>
          </cell>
          <cell r="C921" t="str">
            <v>ITOT-SWH</v>
          </cell>
          <cell r="H921">
            <v>9.7858343127041371E-3</v>
          </cell>
          <cell r="I921">
            <v>0.22933567459118748</v>
          </cell>
          <cell r="J921">
            <v>1.4322219834811589</v>
          </cell>
        </row>
        <row r="922">
          <cell r="A922" t="str">
            <v>ITOT-SWHSTG</v>
          </cell>
          <cell r="B922" t="str">
            <v>VAR_ncap</v>
          </cell>
          <cell r="C922" t="str">
            <v>-</v>
          </cell>
          <cell r="H922">
            <v>2.9968787636725498E-3</v>
          </cell>
          <cell r="I922">
            <v>3.9854058794048498E-2</v>
          </cell>
          <cell r="J922">
            <v>0.186263388136687</v>
          </cell>
        </row>
        <row r="923">
          <cell r="A923" t="str">
            <v>ITOT-SWHSTG</v>
          </cell>
          <cell r="B923" t="str">
            <v>VAR_cap</v>
          </cell>
          <cell r="C923" t="str">
            <v>-</v>
          </cell>
          <cell r="H923">
            <v>3.4792338354015314E-3</v>
          </cell>
          <cell r="I923">
            <v>4.2849203890968086E-2</v>
          </cell>
          <cell r="J923">
            <v>0.21644398920827759</v>
          </cell>
        </row>
        <row r="924">
          <cell r="A924" t="str">
            <v>SCOM-SHLFOBR</v>
          </cell>
          <cell r="B924" t="str">
            <v>VAR_fout</v>
          </cell>
          <cell r="C924" t="str">
            <v>CO2_S</v>
          </cell>
          <cell r="H924">
            <v>867.933690241097</v>
          </cell>
          <cell r="I924">
            <v>500.22590305927503</v>
          </cell>
          <cell r="J924">
            <v>94.317218481557504</v>
          </cell>
        </row>
        <row r="925">
          <cell r="A925" t="str">
            <v>SCOM-SHLFOBR</v>
          </cell>
          <cell r="B925" t="str">
            <v>VAR_fout</v>
          </cell>
          <cell r="C925" t="str">
            <v>SCOM-SHLFO</v>
          </cell>
          <cell r="H925">
            <v>9.6421526579787891</v>
          </cell>
          <cell r="I925">
            <v>5.5571693725047178</v>
          </cell>
          <cell r="J925">
            <v>1.0478001131889401</v>
          </cell>
        </row>
        <row r="926">
          <cell r="A926" t="str">
            <v>SCOM-SHLFOBR</v>
          </cell>
          <cell r="B926" t="str">
            <v>VAR_fin</v>
          </cell>
          <cell r="C926" t="str">
            <v>SLFO</v>
          </cell>
          <cell r="H926">
            <v>11.776576529729931</v>
          </cell>
          <cell r="I926">
            <v>6.7873256860145847</v>
          </cell>
          <cell r="J926">
            <v>1.2797451625720144</v>
          </cell>
        </row>
        <row r="927">
          <cell r="A927" t="str">
            <v>SCOM-SHLFOBR</v>
          </cell>
          <cell r="B927" t="str">
            <v>VAR_ncap</v>
          </cell>
          <cell r="C927" t="str">
            <v>-</v>
          </cell>
          <cell r="H927">
            <v>0.431579675907174</v>
          </cell>
          <cell r="I927">
            <v>9.3386536908225202E-6</v>
          </cell>
          <cell r="J927">
            <v>5.7232809749159703E-7</v>
          </cell>
        </row>
        <row r="928">
          <cell r="A928" t="str">
            <v>SCOM-SHLFOBR</v>
          </cell>
          <cell r="B928" t="str">
            <v>VAR_cap</v>
          </cell>
          <cell r="C928" t="str">
            <v>-</v>
          </cell>
          <cell r="H928">
            <v>0.85294436970430387</v>
          </cell>
          <cell r="I928">
            <v>0.43158874432431682</v>
          </cell>
          <cell r="J928">
            <v>0.17707281141185721</v>
          </cell>
        </row>
        <row r="929">
          <cell r="A929" t="str">
            <v>RHNM-SHPLTBR</v>
          </cell>
          <cell r="B929" t="str">
            <v>VAR_fout</v>
          </cell>
          <cell r="C929" t="str">
            <v>RHNM-SHPLT</v>
          </cell>
          <cell r="H929">
            <v>2.2319134269513229E-2</v>
          </cell>
          <cell r="I929">
            <v>2.4397011250116642E-2</v>
          </cell>
          <cell r="J929">
            <v>2.8346407506724926E-2</v>
          </cell>
        </row>
        <row r="930">
          <cell r="A930" t="str">
            <v>RHNM-SHPLTBR</v>
          </cell>
          <cell r="B930" t="str">
            <v>VAR_fin</v>
          </cell>
          <cell r="C930" t="str">
            <v>RPLT</v>
          </cell>
          <cell r="H930">
            <v>2.9338324908511924E-2</v>
          </cell>
          <cell r="I930">
            <v>3.1835925954832089E-2</v>
          </cell>
          <cell r="J930">
            <v>3.698953618612922E-2</v>
          </cell>
        </row>
        <row r="931">
          <cell r="A931" t="str">
            <v>RHNM-SHPLTBR</v>
          </cell>
          <cell r="B931" t="str">
            <v>VAR_fin</v>
          </cell>
          <cell r="C931" t="str">
            <v>RHNMPLTBRC</v>
          </cell>
          <cell r="H931">
            <v>2.2319134269513229E-2</v>
          </cell>
          <cell r="I931">
            <v>2.4397011250116642E-2</v>
          </cell>
          <cell r="J931">
            <v>2.8346407506724926E-2</v>
          </cell>
        </row>
        <row r="932">
          <cell r="A932" t="str">
            <v>RHNM-SHPLTBR</v>
          </cell>
          <cell r="B932" t="str">
            <v>VAR_ncap</v>
          </cell>
          <cell r="C932" t="str">
            <v>-</v>
          </cell>
          <cell r="H932">
            <v>1.3528654648973301E-5</v>
          </cell>
          <cell r="I932">
            <v>1.9887761379686498E-3</v>
          </cell>
          <cell r="J932">
            <v>8.1034195720797598E-4</v>
          </cell>
        </row>
        <row r="933">
          <cell r="A933" t="str">
            <v>RHNM-SHPLTBR</v>
          </cell>
          <cell r="B933" t="str">
            <v>VAR_cap</v>
          </cell>
          <cell r="C933" t="str">
            <v>-</v>
          </cell>
          <cell r="H933">
            <v>2.8112347442762389E-3</v>
          </cell>
          <cell r="I933">
            <v>2.006796303046151E-3</v>
          </cell>
          <cell r="J933">
            <v>2.2589821282448398E-3</v>
          </cell>
        </row>
        <row r="934">
          <cell r="A934" t="str">
            <v>D-RHES_NKEV_GAS_ELC_CHP</v>
          </cell>
          <cell r="B934" t="str">
            <v>VAR_fout</v>
          </cell>
          <cell r="C934" t="str">
            <v>RHES_ELC</v>
          </cell>
          <cell r="H934">
            <v>3.6349028932010485E-3</v>
          </cell>
          <cell r="I934">
            <v>7.378426375433953E-4</v>
          </cell>
        </row>
        <row r="935">
          <cell r="A935" t="str">
            <v>D-RHES_NKEV_GAS_ELC_CHP</v>
          </cell>
          <cell r="B935" t="str">
            <v>VAR_fout</v>
          </cell>
          <cell r="C935" t="str">
            <v>ELC5</v>
          </cell>
          <cell r="H935">
            <v>1.1299008076206586E-3</v>
          </cell>
          <cell r="I935">
            <v>5.0517354104527611E-4</v>
          </cell>
        </row>
        <row r="936">
          <cell r="A936" t="str">
            <v>D-RHES_NKEV_GAS_ELC_CHP</v>
          </cell>
          <cell r="B936" t="str">
            <v>VAR_fin</v>
          </cell>
          <cell r="C936" t="str">
            <v>RHES_NKEV_GAS_ELC_CHP</v>
          </cell>
          <cell r="H936">
            <v>4.7239680484354946E-3</v>
          </cell>
          <cell r="I936">
            <v>1.2128173081034962E-3</v>
          </cell>
        </row>
        <row r="937">
          <cell r="A937" t="str">
            <v>SCOM-SHSTG-SOL</v>
          </cell>
          <cell r="B937" t="str">
            <v>VAR_fout</v>
          </cell>
          <cell r="C937" t="str">
            <v>SCOM-SHASOL</v>
          </cell>
          <cell r="H937">
            <v>6.278460809602407E-5</v>
          </cell>
          <cell r="I937">
            <v>5.9755271996489323E-5</v>
          </cell>
          <cell r="J937">
            <v>3.2664644510861399E-5</v>
          </cell>
        </row>
        <row r="938">
          <cell r="A938" t="str">
            <v>SCOM-SHSTG-SOL</v>
          </cell>
          <cell r="B938" t="str">
            <v>VAR_fin</v>
          </cell>
          <cell r="C938" t="str">
            <v>SCOM-SHASOL</v>
          </cell>
          <cell r="H938">
            <v>5.0019743102049888E-5</v>
          </cell>
          <cell r="I938">
            <v>4.898555163194068E-5</v>
          </cell>
          <cell r="J938">
            <v>8.6477426207594187E-6</v>
          </cell>
        </row>
        <row r="939">
          <cell r="A939" t="str">
            <v>SCOM-SHSTG-SOL</v>
          </cell>
          <cell r="B939" t="str">
            <v>VAR_ncap</v>
          </cell>
          <cell r="C939" t="str">
            <v>-</v>
          </cell>
          <cell r="H939">
            <v>1.63041362297883E-2</v>
          </cell>
          <cell r="I939">
            <v>1.142396736555E-2</v>
          </cell>
          <cell r="J939">
            <v>1.46751029295302E-2</v>
          </cell>
        </row>
        <row r="940">
          <cell r="A940" t="str">
            <v>SCOM-SHSTG-SOL</v>
          </cell>
          <cell r="B940" t="str">
            <v>VAR_cap</v>
          </cell>
          <cell r="C940" t="str">
            <v>-</v>
          </cell>
          <cell r="H940">
            <v>2.2855301445139801E-2</v>
          </cell>
          <cell r="I940">
            <v>2.7729311565718499E-2</v>
          </cell>
          <cell r="J940">
            <v>2.98624214423465E-2</v>
          </cell>
        </row>
        <row r="941">
          <cell r="A941" t="str">
            <v>RHNM-SHELCBRA</v>
          </cell>
          <cell r="B941" t="str">
            <v>VAR_fout</v>
          </cell>
          <cell r="C941" t="str">
            <v>RHNM-SHELCB</v>
          </cell>
          <cell r="H941">
            <v>1.9918845557877771E-3</v>
          </cell>
          <cell r="I941">
            <v>2.098152360897105E-3</v>
          </cell>
          <cell r="J941">
            <v>2.1251071849422393E-3</v>
          </cell>
        </row>
        <row r="942">
          <cell r="A942" t="str">
            <v>RHNM-SHELCBRA</v>
          </cell>
          <cell r="B942" t="str">
            <v>VAR_fin</v>
          </cell>
          <cell r="C942" t="str">
            <v>RHNM-SHAELCB</v>
          </cell>
          <cell r="H942">
            <v>1.9918845557877771E-3</v>
          </cell>
          <cell r="I942">
            <v>2.098152360897105E-3</v>
          </cell>
          <cell r="J942">
            <v>2.1251071849422393E-3</v>
          </cell>
        </row>
        <row r="943">
          <cell r="A943" t="str">
            <v>RHNM-SHELCBRA</v>
          </cell>
          <cell r="B943" t="str">
            <v>VAR_ncap</v>
          </cell>
          <cell r="C943" t="str">
            <v>-</v>
          </cell>
          <cell r="H943">
            <v>1.5558624469456501E-3</v>
          </cell>
        </row>
        <row r="944">
          <cell r="A944" t="str">
            <v>RHNM-SHELCBRA</v>
          </cell>
          <cell r="B944" t="str">
            <v>VAR_cap</v>
          </cell>
          <cell r="C944" t="str">
            <v>-</v>
          </cell>
          <cell r="H944">
            <v>7.6745098023138347E-3</v>
          </cell>
          <cell r="I944">
            <v>1.4645209138323225E-3</v>
          </cell>
          <cell r="J944">
            <v>6.1847130815002502E-4</v>
          </cell>
        </row>
        <row r="945">
          <cell r="A945" t="str">
            <v>RHNM-SHSTG-SOL</v>
          </cell>
          <cell r="B945" t="str">
            <v>VAR_fout</v>
          </cell>
          <cell r="C945" t="str">
            <v>AUX_RHNM-SHSTG-SOL_OUT</v>
          </cell>
          <cell r="H945">
            <v>3.755521897889875E-5</v>
          </cell>
          <cell r="I945">
            <v>2.5273833444881496E-5</v>
          </cell>
          <cell r="J945">
            <v>6.8327295285084536E-5</v>
          </cell>
        </row>
        <row r="946">
          <cell r="A946" t="str">
            <v>RHNM-SHSTG-SOL</v>
          </cell>
          <cell r="B946" t="str">
            <v>VAR_fout</v>
          </cell>
          <cell r="C946" t="str">
            <v>RHNM-SHASOL</v>
          </cell>
          <cell r="H946">
            <v>3.7517701277621131E-5</v>
          </cell>
          <cell r="I946">
            <v>2.5248584860021476E-5</v>
          </cell>
          <cell r="J946">
            <v>6.8259036248835705E-5</v>
          </cell>
        </row>
        <row r="947">
          <cell r="A947" t="str">
            <v>RHNM-SHSTG-SOL</v>
          </cell>
          <cell r="B947" t="str">
            <v>VAR_fin</v>
          </cell>
          <cell r="C947" t="str">
            <v>RHNM-SHASOL</v>
          </cell>
          <cell r="H947">
            <v>7.4256876594391393E-6</v>
          </cell>
          <cell r="I947">
            <v>1.286363005143828E-5</v>
          </cell>
          <cell r="J947">
            <v>6.0638463981853383E-5</v>
          </cell>
        </row>
        <row r="948">
          <cell r="A948" t="str">
            <v>RHNM-SHSTG-SOL</v>
          </cell>
          <cell r="B948" t="str">
            <v>VAR_ncap</v>
          </cell>
          <cell r="C948" t="str">
            <v>-</v>
          </cell>
          <cell r="H948">
            <v>1.70291070706393E-6</v>
          </cell>
          <cell r="I948">
            <v>3.1256672093906401E-5</v>
          </cell>
          <cell r="J948">
            <v>3.63681533601694E-5</v>
          </cell>
        </row>
        <row r="949">
          <cell r="A949" t="str">
            <v>RHNM-SHSTG-SOL</v>
          </cell>
          <cell r="B949" t="str">
            <v>VAR_cap</v>
          </cell>
          <cell r="C949" t="str">
            <v>-</v>
          </cell>
          <cell r="H949">
            <v>3.0421129962677899E-4</v>
          </cell>
          <cell r="I949">
            <v>7.9017036616918298E-5</v>
          </cell>
          <cell r="J949">
            <v>5.9772490264311898E-5</v>
          </cell>
        </row>
        <row r="950">
          <cell r="A950" t="str">
            <v>RHNS-SHELCHP</v>
          </cell>
          <cell r="B950" t="str">
            <v>VAR_fout</v>
          </cell>
          <cell r="C950" t="str">
            <v>RHNS-SHAELCH</v>
          </cell>
          <cell r="H950">
            <v>2.7985603565718953</v>
          </cell>
          <cell r="I950">
            <v>3.2609768210197738</v>
          </cell>
          <cell r="J950">
            <v>3.7267783663911156</v>
          </cell>
        </row>
        <row r="951">
          <cell r="A951" t="str">
            <v>RHNS-SHELCHP</v>
          </cell>
          <cell r="B951" t="str">
            <v>VAR_fin</v>
          </cell>
          <cell r="C951" t="str">
            <v>RHNS_ELC</v>
          </cell>
          <cell r="H951">
            <v>0.73525773763541447</v>
          </cell>
          <cell r="I951">
            <v>0.83435018241566139</v>
          </cell>
          <cell r="J951">
            <v>0.89516170877482937</v>
          </cell>
        </row>
        <row r="952">
          <cell r="A952" t="str">
            <v>RHNS-SHELCHP</v>
          </cell>
          <cell r="B952" t="str">
            <v>VAR_fin</v>
          </cell>
          <cell r="C952" t="str">
            <v>RHNSELCHPC</v>
          </cell>
          <cell r="H952">
            <v>2.7985603565718953</v>
          </cell>
          <cell r="I952">
            <v>3.2609768210197738</v>
          </cell>
          <cell r="J952">
            <v>3.7267783663911156</v>
          </cell>
        </row>
        <row r="953">
          <cell r="A953" t="str">
            <v>RHNS-SHELCHP</v>
          </cell>
          <cell r="B953" t="str">
            <v>VAR_ncap</v>
          </cell>
          <cell r="C953" t="str">
            <v>-</v>
          </cell>
          <cell r="H953">
            <v>8.4411680768276404E-2</v>
          </cell>
          <cell r="I953">
            <v>0.110640476202224</v>
          </cell>
          <cell r="J953">
            <v>0.155630453548154</v>
          </cell>
        </row>
        <row r="954">
          <cell r="A954" t="str">
            <v>RHNS-SHELCHP</v>
          </cell>
          <cell r="B954" t="str">
            <v>VAR_cap</v>
          </cell>
          <cell r="C954" t="str">
            <v>-</v>
          </cell>
          <cell r="H954">
            <v>0.20398120691025831</v>
          </cell>
          <cell r="I954">
            <v>0.23778749337430277</v>
          </cell>
          <cell r="J954">
            <v>0.27163137168921569</v>
          </cell>
        </row>
        <row r="955">
          <cell r="A955" t="str">
            <v>SCOM-SHBIOBR</v>
          </cell>
          <cell r="B955" t="str">
            <v>VAR_fout</v>
          </cell>
          <cell r="C955" t="str">
            <v>SCOM-SHBIO</v>
          </cell>
        </row>
        <row r="956">
          <cell r="A956" t="str">
            <v>SCOM-SHBIOBR</v>
          </cell>
          <cell r="B956" t="str">
            <v>VAR_fin</v>
          </cell>
          <cell r="C956" t="str">
            <v>SBIO</v>
          </cell>
        </row>
        <row r="957">
          <cell r="A957" t="str">
            <v>SCOM-SHBIOBR</v>
          </cell>
          <cell r="B957" t="str">
            <v>VAR_ncap</v>
          </cell>
          <cell r="C957" t="str">
            <v>-</v>
          </cell>
          <cell r="H957">
            <v>5.9636639688091502E-5</v>
          </cell>
          <cell r="I957">
            <v>9.5849448899720804E-5</v>
          </cell>
          <cell r="J957">
            <v>4.32565990144973E-5</v>
          </cell>
        </row>
        <row r="958">
          <cell r="A958" t="str">
            <v>SCOM-SHBIOBR</v>
          </cell>
          <cell r="B958" t="str">
            <v>VAR_cap</v>
          </cell>
          <cell r="C958" t="str">
            <v>-</v>
          </cell>
          <cell r="H958">
            <v>2.7353261569699094E-2</v>
          </cell>
          <cell r="I958">
            <v>1.5259678168542005E-4</v>
          </cell>
          <cell r="J958">
            <v>1.3591635844491077E-4</v>
          </cell>
        </row>
        <row r="959">
          <cell r="A959" t="str">
            <v>RHES-SHDEM</v>
          </cell>
          <cell r="B959" t="str">
            <v>VAR_fout</v>
          </cell>
          <cell r="C959" t="str">
            <v>RHES-SHD</v>
          </cell>
          <cell r="H959">
            <v>53.745151326330955</v>
          </cell>
          <cell r="I959">
            <v>53.127478901053315</v>
          </cell>
          <cell r="J959">
            <v>52.660912023676204</v>
          </cell>
        </row>
        <row r="960">
          <cell r="A960" t="str">
            <v>RHES-SHDEM</v>
          </cell>
          <cell r="B960" t="str">
            <v>VAR_fin</v>
          </cell>
          <cell r="C960" t="str">
            <v>RHES-SHPLT</v>
          </cell>
          <cell r="H960">
            <v>4.3849103983143255E-2</v>
          </cell>
          <cell r="I960">
            <v>4.8197638905929055E-2</v>
          </cell>
          <cell r="J960">
            <v>4.4598140501760308E-2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RHES-SHLTHC-NGA</v>
          </cell>
          <cell r="H961">
            <v>2.5192294152510094E-6</v>
          </cell>
          <cell r="I961">
            <v>5.1313085155431056E-6</v>
          </cell>
          <cell r="J961">
            <v>4.8891032553972711E-6</v>
          </cell>
        </row>
        <row r="962">
          <cell r="A962" t="str">
            <v>RHES-SHDEM</v>
          </cell>
          <cell r="B962" t="str">
            <v>VAR_fin</v>
          </cell>
          <cell r="C962" t="str">
            <v>RHES-SHSOL</v>
          </cell>
          <cell r="H962">
            <v>2.2825386256046534E-2</v>
          </cell>
          <cell r="I962">
            <v>2.2389022498505357E-2</v>
          </cell>
          <cell r="J962">
            <v>2.0410820364336561E-2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RHES-SHLTHC-WOD</v>
          </cell>
          <cell r="H963">
            <v>4.5078399470282388E-6</v>
          </cell>
          <cell r="I963">
            <v>8.4282102120369995E-6</v>
          </cell>
          <cell r="J963">
            <v>2.4706908160812267E-6</v>
          </cell>
        </row>
        <row r="964">
          <cell r="A964" t="str">
            <v>RHES-SHDEM</v>
          </cell>
          <cell r="B964" t="str">
            <v>VAR_fin</v>
          </cell>
          <cell r="C964" t="str">
            <v>RHES-SHNGA</v>
          </cell>
          <cell r="H964">
            <v>4.8893691022380077</v>
          </cell>
          <cell r="I964">
            <v>2.328914894491354</v>
          </cell>
          <cell r="J964">
            <v>0.9631358522235568</v>
          </cell>
        </row>
        <row r="965">
          <cell r="A965" t="str">
            <v>RHES-SHDEM</v>
          </cell>
          <cell r="B965" t="str">
            <v>VAR_fin</v>
          </cell>
          <cell r="C965" t="str">
            <v>RHES-SHNGAH</v>
          </cell>
          <cell r="H965">
            <v>6.6232576506381609</v>
          </cell>
          <cell r="I965">
            <v>7.7841371845876175</v>
          </cell>
          <cell r="J965">
            <v>7.3420908139033934</v>
          </cell>
        </row>
        <row r="966">
          <cell r="A966" t="str">
            <v>RHES-SHDEM</v>
          </cell>
          <cell r="B966" t="str">
            <v>VAR_fin</v>
          </cell>
          <cell r="C966" t="str">
            <v>RHES-SHCOA</v>
          </cell>
          <cell r="H966">
            <v>2.0941468116854382E-6</v>
          </cell>
          <cell r="J966">
            <v>4.9913698106105656E-6</v>
          </cell>
        </row>
        <row r="967">
          <cell r="A967" t="str">
            <v>RHES-SHDEM</v>
          </cell>
          <cell r="B967" t="str">
            <v>VAR_fin</v>
          </cell>
          <cell r="C967" t="str">
            <v>RHES-SHLFO</v>
          </cell>
          <cell r="H967">
            <v>4.1871477538677579</v>
          </cell>
          <cell r="I967">
            <v>1.456835380001666</v>
          </cell>
          <cell r="J967">
            <v>0.19062827625799153</v>
          </cell>
        </row>
        <row r="968">
          <cell r="A968" t="str">
            <v>RHES-SHDEM</v>
          </cell>
          <cell r="B968" t="str">
            <v>VAR_fin</v>
          </cell>
          <cell r="C968" t="str">
            <v>RHES-SHCON</v>
          </cell>
          <cell r="H968">
            <v>6.7982593666804183</v>
          </cell>
          <cell r="I968">
            <v>8.8634790677021424</v>
          </cell>
          <cell r="J968">
            <v>13.36403497086647</v>
          </cell>
        </row>
        <row r="969">
          <cell r="A969" t="str">
            <v>RHES-SHDEM</v>
          </cell>
          <cell r="B969" t="str">
            <v>VAR_fin</v>
          </cell>
          <cell r="C969" t="str">
            <v>RHES-SHWOD</v>
          </cell>
          <cell r="H969">
            <v>3.5071615581398068</v>
          </cell>
          <cell r="I969">
            <v>2.7468797947880601</v>
          </cell>
          <cell r="J969">
            <v>1.4803411413822321</v>
          </cell>
        </row>
        <row r="970">
          <cell r="A970" t="str">
            <v>RHES-SHDEM</v>
          </cell>
          <cell r="B970" t="str">
            <v>VAR_fin</v>
          </cell>
          <cell r="C970" t="str">
            <v>RHES-SHLTHD</v>
          </cell>
          <cell r="H970">
            <v>2.0916674652687841</v>
          </cell>
          <cell r="I970">
            <v>2.2760060707590255</v>
          </cell>
          <cell r="J970">
            <v>2.2183232449752306</v>
          </cell>
        </row>
        <row r="971">
          <cell r="A971" t="str">
            <v>RHES-SHDEM</v>
          </cell>
          <cell r="B971" t="str">
            <v>VAR_fin</v>
          </cell>
          <cell r="C971" t="str">
            <v>RHES-SHELCB</v>
          </cell>
          <cell r="H971">
            <v>1.3424187657511933E-2</v>
          </cell>
          <cell r="I971">
            <v>3.245913142822915E-3</v>
          </cell>
          <cell r="J971">
            <v>1.8263134986802637E-3</v>
          </cell>
        </row>
        <row r="972">
          <cell r="A972" t="str">
            <v>RHES-SHDEM</v>
          </cell>
          <cell r="B972" t="str">
            <v>VAR_fin</v>
          </cell>
          <cell r="C972" t="str">
            <v>RHES-SHELCH</v>
          </cell>
          <cell r="H972">
            <v>25.569449873062311</v>
          </cell>
          <cell r="I972">
            <v>27.598427320428431</v>
          </cell>
          <cell r="J972">
            <v>27.036355177244698</v>
          </cell>
        </row>
        <row r="973">
          <cell r="A973" t="str">
            <v>RHES-SHDEM</v>
          </cell>
          <cell r="B973" t="str">
            <v>VAR_fin</v>
          </cell>
          <cell r="C973" t="str">
            <v>RHES-SHNST</v>
          </cell>
          <cell r="H973">
            <v>5.5333176500625291E-6</v>
          </cell>
          <cell r="I973">
            <v>1.4927287125532919E-7</v>
          </cell>
          <cell r="J973">
            <v>1.4070631517501685E-6</v>
          </cell>
        </row>
        <row r="974">
          <cell r="A974" t="str">
            <v>D-RHEM_LTH_CHPNGA</v>
          </cell>
          <cell r="B974" t="str">
            <v>VAR_fout</v>
          </cell>
          <cell r="C974" t="str">
            <v>RHSA_LTH</v>
          </cell>
          <cell r="H974">
            <v>1.4942381151412566E-2</v>
          </cell>
          <cell r="I974">
            <v>1.7928599849880949E-3</v>
          </cell>
          <cell r="J974">
            <v>3.4046005471266959E-5</v>
          </cell>
        </row>
        <row r="975">
          <cell r="A975" t="str">
            <v>D-RHEM_LTH_CHPNGA</v>
          </cell>
          <cell r="B975" t="str">
            <v>VAR_fout</v>
          </cell>
          <cell r="C975" t="str">
            <v>RHEM_LTH_CHPNGA_ON</v>
          </cell>
          <cell r="H975">
            <v>1.4101045747682837E-2</v>
          </cell>
          <cell r="I975">
            <v>2.1768261840788192E-3</v>
          </cell>
          <cell r="J975">
            <v>1.8956020078661054E-5</v>
          </cell>
        </row>
        <row r="976">
          <cell r="A976" t="str">
            <v>D-RHEM_LTH_CHPNGA</v>
          </cell>
          <cell r="B976" t="str">
            <v>VAR_fout</v>
          </cell>
          <cell r="C976" t="str">
            <v>LTH</v>
          </cell>
          <cell r="H976">
            <v>2.7490289456628547E-5</v>
          </cell>
          <cell r="I976">
            <v>5.7140297607836954E-6</v>
          </cell>
          <cell r="J976">
            <v>2.2256772932235168E-5</v>
          </cell>
        </row>
        <row r="977">
          <cell r="A977" t="str">
            <v>D-RHEM_LTH_CHPNGA</v>
          </cell>
          <cell r="B977" t="str">
            <v>VAR_fin</v>
          </cell>
          <cell r="C977" t="str">
            <v>RHEM_LTH_CHPNGA</v>
          </cell>
          <cell r="H977">
            <v>2.907091718855204E-2</v>
          </cell>
          <cell r="I977">
            <v>3.975419642229706E-3</v>
          </cell>
          <cell r="J977">
            <v>7.5258798482163164E-5</v>
          </cell>
        </row>
        <row r="978">
          <cell r="A978" t="str">
            <v>RHEM-SHLTHCHPNGA</v>
          </cell>
          <cell r="B978" t="str">
            <v>VAR_fout</v>
          </cell>
          <cell r="C978" t="str">
            <v>RHEM-SHLTHC-NGA</v>
          </cell>
        </row>
        <row r="979">
          <cell r="A979" t="str">
            <v>RHEM-SHLTHCHPNGA</v>
          </cell>
          <cell r="B979" t="str">
            <v>VAR_fin</v>
          </cell>
          <cell r="C979" t="str">
            <v>RHEM_LTH_CHPNGA_ON</v>
          </cell>
        </row>
        <row r="980">
          <cell r="A980" t="str">
            <v>RHEM-SHLTHCHPNGA</v>
          </cell>
          <cell r="B980" t="str">
            <v>VAR_fin</v>
          </cell>
          <cell r="C980" t="str">
            <v>RHEMLTHCHPC</v>
          </cell>
        </row>
        <row r="981">
          <cell r="A981" t="str">
            <v>RHEM-SHLTHCHPNGA</v>
          </cell>
          <cell r="B981" t="str">
            <v>VAR_ncap</v>
          </cell>
          <cell r="C981" t="str">
            <v>-</v>
          </cell>
          <cell r="H981">
            <v>1.0386401999636699E-3</v>
          </cell>
          <cell r="I981">
            <v>2.53626621774279E-4</v>
          </cell>
          <cell r="J981">
            <v>5.1984616106110499E-8</v>
          </cell>
        </row>
        <row r="982">
          <cell r="A982" t="str">
            <v>RHEM-SHLTHCHPNGA</v>
          </cell>
          <cell r="B982" t="str">
            <v>VAR_cap</v>
          </cell>
          <cell r="C982" t="str">
            <v>-</v>
          </cell>
          <cell r="H982">
            <v>1.84027033918008E-3</v>
          </cell>
          <cell r="I982">
            <v>5.8420608627550007E-4</v>
          </cell>
        </row>
        <row r="983">
          <cell r="A983" t="str">
            <v>D-RHES_SOLELC</v>
          </cell>
          <cell r="B983" t="str">
            <v>VAR_fout</v>
          </cell>
          <cell r="C983" t="str">
            <v>RHES_ELC</v>
          </cell>
          <cell r="H983">
            <v>4.6088049691498769</v>
          </cell>
          <cell r="I983">
            <v>4.6460759666730258</v>
          </cell>
          <cell r="J983">
            <v>5.0418650095566955</v>
          </cell>
        </row>
        <row r="984">
          <cell r="A984" t="str">
            <v>D-RHES_SOLELC</v>
          </cell>
          <cell r="B984" t="str">
            <v>VAR_fout</v>
          </cell>
          <cell r="C984" t="str">
            <v>ELC5</v>
          </cell>
          <cell r="H984">
            <v>2.0223646652607449E-3</v>
          </cell>
          <cell r="I984">
            <v>0.19349924879124317</v>
          </cell>
          <cell r="J984">
            <v>0.13043948025391047</v>
          </cell>
        </row>
        <row r="985">
          <cell r="A985" t="str">
            <v>D-RHES_SOLELC</v>
          </cell>
          <cell r="B985" t="str">
            <v>VAR_fin</v>
          </cell>
          <cell r="C985" t="str">
            <v>RHES_SOL_ELC</v>
          </cell>
          <cell r="H985">
            <v>4.610827333815136</v>
          </cell>
          <cell r="I985">
            <v>4.8395752154642659</v>
          </cell>
          <cell r="J985">
            <v>5.1723044898106032</v>
          </cell>
        </row>
        <row r="986">
          <cell r="A986" t="str">
            <v>RHNM-SHCONBR1</v>
          </cell>
          <cell r="B986" t="str">
            <v>VAR_ncap</v>
          </cell>
          <cell r="C986" t="str">
            <v>-</v>
          </cell>
          <cell r="H986">
            <v>4.22780343306954</v>
          </cell>
        </row>
        <row r="987">
          <cell r="A987" t="str">
            <v>RHNM-SHCONBR1</v>
          </cell>
          <cell r="B987" t="str">
            <v>VAR_cap</v>
          </cell>
          <cell r="C987" t="str">
            <v>-</v>
          </cell>
          <cell r="H987">
            <v>10.623161129698985</v>
          </cell>
          <cell r="I987">
            <v>6.1462436541299894</v>
          </cell>
          <cell r="J987">
            <v>2.7611819738750114</v>
          </cell>
        </row>
        <row r="988">
          <cell r="A988" t="str">
            <v>D-DH2</v>
          </cell>
          <cell r="B988" t="str">
            <v>VAR_fout</v>
          </cell>
          <cell r="C988" t="str">
            <v>H2</v>
          </cell>
          <cell r="H988">
            <v>1.40567752731763E-3</v>
          </cell>
          <cell r="I988">
            <v>9.91442212350338</v>
          </cell>
          <cell r="J988">
            <v>10.490094718803215</v>
          </cell>
        </row>
        <row r="989">
          <cell r="A989" t="str">
            <v>D-DH2</v>
          </cell>
          <cell r="B989" t="str">
            <v>VAR_fin</v>
          </cell>
          <cell r="C989" t="str">
            <v>H2_E</v>
          </cell>
          <cell r="H989">
            <v>1.4198762902198291E-3</v>
          </cell>
          <cell r="I989">
            <v>10.014567801518554</v>
          </cell>
          <cell r="J989">
            <v>10.596055271518402</v>
          </cell>
        </row>
        <row r="990">
          <cell r="A990" t="str">
            <v>D-DH2</v>
          </cell>
          <cell r="B990" t="str">
            <v>VAR_ncap</v>
          </cell>
          <cell r="C990" t="str">
            <v>-</v>
          </cell>
          <cell r="H990">
            <v>1.74508024841001E-4</v>
          </cell>
          <cell r="I990">
            <v>1.3312145041604899</v>
          </cell>
          <cell r="J990">
            <v>7.7300473766599306E-2</v>
          </cell>
        </row>
        <row r="991">
          <cell r="A991" t="str">
            <v>D-DH2</v>
          </cell>
          <cell r="B991" t="str">
            <v>VAR_cap</v>
          </cell>
          <cell r="C991" t="str">
            <v>-</v>
          </cell>
          <cell r="H991">
            <v>2.5215596783276798E-4</v>
          </cell>
          <cell r="I991">
            <v>1.33146666012833</v>
          </cell>
          <cell r="J991">
            <v>1.4087671338949199</v>
          </cell>
        </row>
        <row r="992">
          <cell r="A992" t="str">
            <v>ITOT-SWHHFOBR</v>
          </cell>
          <cell r="B992" t="str">
            <v>VAR_fout</v>
          </cell>
          <cell r="C992" t="str">
            <v>ITOT-SWH</v>
          </cell>
          <cell r="H992">
            <v>4.8838761318315826E-3</v>
          </cell>
          <cell r="I992">
            <v>3.4254810618699911E-4</v>
          </cell>
        </row>
        <row r="993">
          <cell r="A993" t="str">
            <v>ITOT-SWHHFOBR</v>
          </cell>
          <cell r="B993" t="str">
            <v>VAR_fout</v>
          </cell>
          <cell r="C993" t="str">
            <v>CO2_I</v>
          </cell>
          <cell r="H993">
            <v>0.53871746749185401</v>
          </cell>
          <cell r="I993">
            <v>3.7393165587664597E-2</v>
          </cell>
        </row>
        <row r="994">
          <cell r="A994" t="str">
            <v>ITOT-SWHHFOBR</v>
          </cell>
          <cell r="B994" t="str">
            <v>VAR_fin</v>
          </cell>
          <cell r="C994" t="str">
            <v>IHFO</v>
          </cell>
          <cell r="H994">
            <v>6.9963307466474464E-3</v>
          </cell>
          <cell r="I994">
            <v>4.8562552711252805E-4</v>
          </cell>
        </row>
        <row r="995">
          <cell r="A995" t="str">
            <v>ITOT-SWHHFOBR</v>
          </cell>
          <cell r="B995" t="str">
            <v>VAR_ncap</v>
          </cell>
          <cell r="C995" t="str">
            <v>-</v>
          </cell>
          <cell r="H995">
            <v>4.2803792636013002E-4</v>
          </cell>
          <cell r="I995">
            <v>3.2200813835054703E-5</v>
          </cell>
          <cell r="J995">
            <v>5.3838620496383097E-6</v>
          </cell>
        </row>
        <row r="996">
          <cell r="A996" t="str">
            <v>ITOT-SWHHFOBR</v>
          </cell>
          <cell r="B996" t="str">
            <v>VAR_cap</v>
          </cell>
          <cell r="C996" t="str">
            <v>-</v>
          </cell>
          <cell r="H996">
            <v>4.5716471593741648E-4</v>
          </cell>
          <cell r="I996">
            <v>3.3145480646604001E-5</v>
          </cell>
          <cell r="J996">
            <v>-9.8217141764450058E-6</v>
          </cell>
        </row>
        <row r="997">
          <cell r="A997" t="str">
            <v>RHNM-SHCONBR2</v>
          </cell>
          <cell r="B997" t="str">
            <v>VAR_ncap</v>
          </cell>
          <cell r="C997" t="str">
            <v>-</v>
          </cell>
          <cell r="H997">
            <v>4.22780343306977</v>
          </cell>
        </row>
        <row r="998">
          <cell r="A998" t="str">
            <v>RHNM-SHCONBR2</v>
          </cell>
          <cell r="B998" t="str">
            <v>VAR_cap</v>
          </cell>
          <cell r="C998" t="str">
            <v>-</v>
          </cell>
          <cell r="H998">
            <v>10.623161129698985</v>
          </cell>
          <cell r="I998">
            <v>6.1462436541299894</v>
          </cell>
          <cell r="J998">
            <v>2.7611819738750114</v>
          </cell>
        </row>
        <row r="999">
          <cell r="A999" t="str">
            <v>RHSA-WHSTG-ELCHP</v>
          </cell>
          <cell r="B999" t="str">
            <v>VAR_fout</v>
          </cell>
          <cell r="C999" t="str">
            <v>AUX_RHSA-WHSTG-ELCHP_OUT</v>
          </cell>
          <cell r="H999">
            <v>1.8360695234519488</v>
          </cell>
          <cell r="I999">
            <v>1.9288573057825324</v>
          </cell>
          <cell r="J999">
            <v>2.2701131450841379</v>
          </cell>
        </row>
        <row r="1000">
          <cell r="A1000" t="str">
            <v>RHSA-WHSTG-ELCHP</v>
          </cell>
          <cell r="B1000" t="str">
            <v>VAR_fout</v>
          </cell>
          <cell r="C1000" t="str">
            <v>RHSA-WHAELCH</v>
          </cell>
          <cell r="H1000">
            <v>1.8342352881637853</v>
          </cell>
          <cell r="I1000">
            <v>1.9269303754071256</v>
          </cell>
          <cell r="J1000">
            <v>2.2678452997843546</v>
          </cell>
        </row>
        <row r="1001">
          <cell r="A1001" t="str">
            <v>RHSA-WHSTG-ELCHP</v>
          </cell>
          <cell r="B1001" t="str">
            <v>VAR_fin</v>
          </cell>
          <cell r="C1001" t="str">
            <v>RHSA-WHAELCH</v>
          </cell>
          <cell r="H1001">
            <v>1.8342470526670192</v>
          </cell>
          <cell r="I1001">
            <v>1.9269494968731227</v>
          </cell>
          <cell r="J1001">
            <v>2.2678513271390393</v>
          </cell>
        </row>
        <row r="1002">
          <cell r="A1002" t="str">
            <v>RHSA-WHSTG-ELCHP</v>
          </cell>
          <cell r="B1002" t="str">
            <v>VAR_ncap</v>
          </cell>
          <cell r="C1002" t="str">
            <v>-</v>
          </cell>
          <cell r="H1002">
            <v>9.7734920284176699E-2</v>
          </cell>
          <cell r="I1002">
            <v>9.3046832792347003E-2</v>
          </cell>
          <cell r="J1002">
            <v>0.16775095793499301</v>
          </cell>
        </row>
        <row r="1003">
          <cell r="A1003" t="str">
            <v>RHSA-WHSTG-ELCHP</v>
          </cell>
          <cell r="B1003" t="str">
            <v>VAR_cap</v>
          </cell>
          <cell r="C1003" t="str">
            <v>-</v>
          </cell>
          <cell r="H1003">
            <v>0.17205751060392427</v>
          </cell>
          <cell r="I1003">
            <v>0.22190109322794407</v>
          </cell>
          <cell r="J1003">
            <v>0.27651580261571429</v>
          </cell>
        </row>
        <row r="1004">
          <cell r="A1004" t="str">
            <v>RHNM-SHCONBR3</v>
          </cell>
          <cell r="B1004" t="str">
            <v>VAR_ncap</v>
          </cell>
          <cell r="C1004" t="str">
            <v>-</v>
          </cell>
          <cell r="H1004">
            <v>4.22780343306954</v>
          </cell>
        </row>
        <row r="1005">
          <cell r="A1005" t="str">
            <v>RHNM-SHCONBR3</v>
          </cell>
          <cell r="B1005" t="str">
            <v>VAR_cap</v>
          </cell>
          <cell r="C1005" t="str">
            <v>-</v>
          </cell>
          <cell r="H1005">
            <v>10.623161129698985</v>
          </cell>
          <cell r="I1005">
            <v>6.1462436541299894</v>
          </cell>
          <cell r="J1005">
            <v>2.7611819738750114</v>
          </cell>
        </row>
        <row r="1006">
          <cell r="A1006" t="str">
            <v>RES-ELCSPECADV</v>
          </cell>
          <cell r="B1006" t="str">
            <v>VAR_fout</v>
          </cell>
          <cell r="C1006" t="str">
            <v>RHSA-ELS</v>
          </cell>
          <cell r="H1006">
            <v>15.669625753762665</v>
          </cell>
          <cell r="I1006">
            <v>21.241761818117812</v>
          </cell>
          <cell r="J1006">
            <v>32.895940860234532</v>
          </cell>
        </row>
        <row r="1007">
          <cell r="A1007" t="str">
            <v>RES-ELCSPECADV</v>
          </cell>
          <cell r="B1007" t="str">
            <v>VAR_fin</v>
          </cell>
          <cell r="C1007" t="str">
            <v>RHSA_ELC</v>
          </cell>
          <cell r="H1007">
            <v>10.446417169175101</v>
          </cell>
          <cell r="I1007">
            <v>14.161174545411875</v>
          </cell>
          <cell r="J1007">
            <v>21.930627240156362</v>
          </cell>
        </row>
        <row r="1008">
          <cell r="A1008" t="str">
            <v>RES-ELCSPECADV</v>
          </cell>
          <cell r="B1008" t="str">
            <v>VAR_ncap</v>
          </cell>
          <cell r="C1008" t="str">
            <v>-</v>
          </cell>
          <cell r="H1008">
            <v>0.67427603112730095</v>
          </cell>
          <cell r="I1008">
            <v>0.58897106529872201</v>
          </cell>
          <cell r="J1008">
            <v>1.5727818922666901</v>
          </cell>
        </row>
        <row r="1009">
          <cell r="A1009" t="str">
            <v>RES-ELCSPECADV</v>
          </cell>
          <cell r="B1009" t="str">
            <v>VAR_cap</v>
          </cell>
          <cell r="C1009" t="str">
            <v>-</v>
          </cell>
          <cell r="H1009">
            <v>1.656268288460778</v>
          </cell>
          <cell r="I1009">
            <v>2.2452386634915693</v>
          </cell>
          <cell r="J1009">
            <v>3.4770776372767127</v>
          </cell>
        </row>
        <row r="1010">
          <cell r="A1010" t="str">
            <v>ITOT-SWHSTG-ELCHP</v>
          </cell>
          <cell r="B1010" t="str">
            <v>VAR_fout</v>
          </cell>
          <cell r="C1010" t="str">
            <v>ITOT-SWHAELCH</v>
          </cell>
          <cell r="H1010">
            <v>3.7840694931496762E-3</v>
          </cell>
          <cell r="I1010">
            <v>0.19321653040044678</v>
          </cell>
          <cell r="J1010">
            <v>0.68096223254417487</v>
          </cell>
        </row>
        <row r="1011">
          <cell r="A1011" t="str">
            <v>ITOT-SWHSTG-ELCHP</v>
          </cell>
          <cell r="B1011" t="str">
            <v>VAR_fin</v>
          </cell>
          <cell r="C1011" t="str">
            <v>ITOT-SWHAELCH</v>
          </cell>
          <cell r="H1011">
            <v>4.6284701837048907E-3</v>
          </cell>
          <cell r="I1011">
            <v>0.22732568291645616</v>
          </cell>
          <cell r="J1011">
            <v>0.75667035303337793</v>
          </cell>
        </row>
        <row r="1012">
          <cell r="A1012" t="str">
            <v>ITOT-SWHSTG-ELCHP</v>
          </cell>
          <cell r="B1012" t="str">
            <v>VAR_ncap</v>
          </cell>
          <cell r="C1012" t="str">
            <v>-</v>
          </cell>
          <cell r="H1012">
            <v>4.5357254785182197E-2</v>
          </cell>
          <cell r="I1012">
            <v>4.6569235258170603E-2</v>
          </cell>
          <cell r="J1012">
            <v>0.119368287454849</v>
          </cell>
        </row>
        <row r="1013">
          <cell r="A1013" t="str">
            <v>ITOT-SWHSTG-ELCHP</v>
          </cell>
          <cell r="B1013" t="str">
            <v>VAR_cap</v>
          </cell>
          <cell r="C1013" t="str">
            <v>-</v>
          </cell>
          <cell r="H1013">
            <v>0.10858328866993759</v>
          </cell>
          <cell r="I1013">
            <v>0.12508808070406757</v>
          </cell>
          <cell r="J1013">
            <v>0.17223302717989594</v>
          </cell>
        </row>
        <row r="1014">
          <cell r="A1014" t="str">
            <v>D-RHNS_LTH_CHPWOD</v>
          </cell>
          <cell r="B1014" t="str">
            <v>VAR_fout</v>
          </cell>
          <cell r="C1014" t="str">
            <v>RHNS_LTH_CHPWOD_ON</v>
          </cell>
          <cell r="I1014">
            <v>5.7489374444026392E-4</v>
          </cell>
        </row>
        <row r="1015">
          <cell r="A1015" t="str">
            <v>D-RHNS_LTH_CHPWOD</v>
          </cell>
          <cell r="B1015" t="str">
            <v>VAR_fout</v>
          </cell>
          <cell r="C1015" t="str">
            <v>RHSA_LTH</v>
          </cell>
          <cell r="H1015">
            <v>9.8316862338168262E-3</v>
          </cell>
          <cell r="I1015">
            <v>9.6536355489686022E-3</v>
          </cell>
          <cell r="J1015">
            <v>3.4766603515693942E-3</v>
          </cell>
        </row>
        <row r="1016">
          <cell r="A1016" t="str">
            <v>D-RHNS_LTH_CHPWOD</v>
          </cell>
          <cell r="B1016" t="str">
            <v>VAR_fout</v>
          </cell>
          <cell r="C1016" t="str">
            <v>LTH</v>
          </cell>
          <cell r="H1016">
            <v>9.0777687637626854E-6</v>
          </cell>
          <cell r="I1016">
            <v>1.2921551201278719E-5</v>
          </cell>
          <cell r="J1016">
            <v>6.5167104423314408E-6</v>
          </cell>
        </row>
        <row r="1017">
          <cell r="A1017" t="str">
            <v>D-RHNS_LTH_CHPWOD</v>
          </cell>
          <cell r="B1017" t="str">
            <v>VAR_fin</v>
          </cell>
          <cell r="C1017" t="str">
            <v>RHNS_LTH_CHPWOD</v>
          </cell>
          <cell r="H1017">
            <v>9.8414025163878153E-3</v>
          </cell>
          <cell r="I1017">
            <v>1.0241645658849757E-2</v>
          </cell>
          <cell r="J1017">
            <v>3.4837129499742199E-3</v>
          </cell>
        </row>
        <row r="1018">
          <cell r="A1018" t="str">
            <v>RHNM-SHCONBR4</v>
          </cell>
          <cell r="B1018" t="str">
            <v>VAR_ncap</v>
          </cell>
          <cell r="C1018" t="str">
            <v>-</v>
          </cell>
          <cell r="H1018">
            <v>4.22780343306977</v>
          </cell>
        </row>
        <row r="1019">
          <cell r="A1019" t="str">
            <v>RHNM-SHCONBR4</v>
          </cell>
          <cell r="B1019" t="str">
            <v>VAR_cap</v>
          </cell>
          <cell r="C1019" t="str">
            <v>-</v>
          </cell>
          <cell r="H1019">
            <v>10.623161129698985</v>
          </cell>
          <cell r="I1019">
            <v>6.1462436541299894</v>
          </cell>
          <cell r="J1019">
            <v>2.7611819738750114</v>
          </cell>
        </row>
        <row r="1020">
          <cell r="A1020" t="str">
            <v>D-SBIO</v>
          </cell>
          <cell r="B1020" t="str">
            <v>VAR_fout</v>
          </cell>
          <cell r="C1020" t="str">
            <v>SBIO</v>
          </cell>
          <cell r="H1020">
            <v>2.9946595639826699</v>
          </cell>
          <cell r="I1020">
            <v>2.9498746804029392</v>
          </cell>
          <cell r="J1020">
            <v>2.8718142141048943</v>
          </cell>
        </row>
        <row r="1021">
          <cell r="A1021" t="str">
            <v>D-SBIO</v>
          </cell>
          <cell r="B1021" t="str">
            <v>VAR_fin</v>
          </cell>
          <cell r="C1021" t="str">
            <v>BIO</v>
          </cell>
          <cell r="H1021">
            <v>2.9946595639826699</v>
          </cell>
          <cell r="I1021">
            <v>2.9498746804029392</v>
          </cell>
          <cell r="J1021">
            <v>2.8718142141048943</v>
          </cell>
        </row>
        <row r="1022">
          <cell r="A1022" t="str">
            <v>RHEM-SHDEM</v>
          </cell>
          <cell r="B1022" t="str">
            <v>VAR_fout</v>
          </cell>
          <cell r="C1022" t="str">
            <v>RHEM-SHD</v>
          </cell>
          <cell r="H1022">
            <v>62.224220520147881</v>
          </cell>
          <cell r="I1022">
            <v>61.033311816818582</v>
          </cell>
          <cell r="J1022">
            <v>59.689903610954197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RHEM-SHNST</v>
          </cell>
          <cell r="H1023">
            <v>6.7600758110903355E-6</v>
          </cell>
          <cell r="J1023">
            <v>5.7852634981415653E-6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RHEM-SHPLT</v>
          </cell>
          <cell r="H1024">
            <v>0.34630899046285535</v>
          </cell>
          <cell r="I1024">
            <v>0.36675349562200804</v>
          </cell>
          <cell r="J1024">
            <v>0.29495525575823089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RHEM-SHNGAH</v>
          </cell>
          <cell r="H1025">
            <v>8.6325707724415572</v>
          </cell>
          <cell r="I1025">
            <v>10.63592266022185</v>
          </cell>
          <cell r="J1025">
            <v>9.6899573244619326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RHEM-SHLTHC-WOD</v>
          </cell>
          <cell r="H1026">
            <v>4.3507472152605842E-6</v>
          </cell>
          <cell r="I1026">
            <v>4.6445937772938427E-6</v>
          </cell>
          <cell r="J1026">
            <v>6.5217046848211216E-6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RHEM-SHSOL</v>
          </cell>
          <cell r="H1027">
            <v>1.1641534903021113E-2</v>
          </cell>
          <cell r="I1027">
            <v>1.1196781483849939E-2</v>
          </cell>
          <cell r="J1027">
            <v>9.2807663212991359E-3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RHEM-SHLTHD</v>
          </cell>
          <cell r="H1028">
            <v>5.4729386079058377</v>
          </cell>
          <cell r="I1028">
            <v>5.8011762349533873</v>
          </cell>
          <cell r="J1028">
            <v>5.4018845553956529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RHEM-SHNGA</v>
          </cell>
          <cell r="H1029">
            <v>9.5745131043756402</v>
          </cell>
          <cell r="I1029">
            <v>3.9336213395366761</v>
          </cell>
          <cell r="J1029">
            <v>1.4866206328926073</v>
          </cell>
        </row>
        <row r="1030">
          <cell r="A1030" t="str">
            <v>RHEM-SHDEM</v>
          </cell>
          <cell r="B1030" t="str">
            <v>VAR_fin</v>
          </cell>
          <cell r="C1030" t="str">
            <v>RHEM-SHELCB</v>
          </cell>
          <cell r="H1030">
            <v>3.9391771791634066E-3</v>
          </cell>
          <cell r="I1030">
            <v>3.1355911246709334E-3</v>
          </cell>
          <cell r="J1030">
            <v>4.1128827519479666E-3</v>
          </cell>
        </row>
        <row r="1031">
          <cell r="A1031" t="str">
            <v>RHEM-SHDEM</v>
          </cell>
          <cell r="B1031" t="str">
            <v>VAR_fin</v>
          </cell>
          <cell r="C1031" t="str">
            <v>RHEM-SHELCH</v>
          </cell>
          <cell r="H1031">
            <v>18.239682683726301</v>
          </cell>
          <cell r="I1031">
            <v>22.558335519241094</v>
          </cell>
          <cell r="J1031">
            <v>23.249327271162453</v>
          </cell>
        </row>
        <row r="1032">
          <cell r="A1032" t="str">
            <v>RHEM-SHDEM</v>
          </cell>
          <cell r="B1032" t="str">
            <v>VAR_fin</v>
          </cell>
          <cell r="C1032" t="str">
            <v>RHEM-SHLFO</v>
          </cell>
          <cell r="H1032">
            <v>7.2607331071896182</v>
          </cell>
          <cell r="I1032">
            <v>3.0035915400551061</v>
          </cell>
          <cell r="J1032">
            <v>0.51930228911771614</v>
          </cell>
        </row>
        <row r="1033">
          <cell r="A1033" t="str">
            <v>RHEM-SHDEM</v>
          </cell>
          <cell r="B1033" t="str">
            <v>VAR_fin</v>
          </cell>
          <cell r="C1033" t="str">
            <v>RHEM-SHCON</v>
          </cell>
          <cell r="H1033">
            <v>8.7448394194721821</v>
          </cell>
          <cell r="I1033">
            <v>11.37032247223911</v>
          </cell>
          <cell r="J1033">
            <v>17.021342821177626</v>
          </cell>
        </row>
        <row r="1034">
          <cell r="A1034" t="str">
            <v>RHEM-SHDEM</v>
          </cell>
          <cell r="B1034" t="str">
            <v>VAR_fin</v>
          </cell>
          <cell r="C1034" t="str">
            <v>RHEM-SHWOD</v>
          </cell>
          <cell r="H1034">
            <v>3.9383415330023075</v>
          </cell>
          <cell r="I1034">
            <v>3.35034572587608</v>
          </cell>
          <cell r="J1034">
            <v>2.0139858391168399</v>
          </cell>
        </row>
        <row r="1035">
          <cell r="A1035" t="str">
            <v>RHEM-SHDEM</v>
          </cell>
          <cell r="B1035" t="str">
            <v>VAR_fin</v>
          </cell>
          <cell r="C1035" t="str">
            <v>RHEM-SHLTHC-NGA</v>
          </cell>
          <cell r="H1035">
            <v>1.9382005716168526E-6</v>
          </cell>
          <cell r="I1035">
            <v>1.0296205794188369E-5</v>
          </cell>
          <cell r="J1035">
            <v>6.0491874110451212E-6</v>
          </cell>
        </row>
        <row r="1036">
          <cell r="A1036" t="str">
            <v>ITOT-SWHH2BR</v>
          </cell>
          <cell r="B1036" t="str">
            <v>VAR_fout</v>
          </cell>
          <cell r="C1036" t="str">
            <v>ITOT-SWH</v>
          </cell>
          <cell r="H1036">
            <v>7.1585195958162542</v>
          </cell>
          <cell r="I1036">
            <v>7.9138759188264398</v>
          </cell>
          <cell r="J1036">
            <v>7.9138654606646135</v>
          </cell>
        </row>
        <row r="1037">
          <cell r="A1037" t="str">
            <v>ITOT-SWHH2BR</v>
          </cell>
          <cell r="B1037" t="str">
            <v>VAR_fin</v>
          </cell>
          <cell r="C1037" t="str">
            <v>IH2</v>
          </cell>
          <cell r="H1037">
            <v>8.8731174093085805</v>
          </cell>
          <cell r="I1037">
            <v>9.7880235312092481</v>
          </cell>
          <cell r="J1037">
            <v>9.745544807191699</v>
          </cell>
        </row>
        <row r="1038">
          <cell r="A1038" t="str">
            <v>ITOT-SWHH2BR</v>
          </cell>
          <cell r="B1038" t="str">
            <v>VAR_ncap</v>
          </cell>
          <cell r="C1038" t="str">
            <v>-</v>
          </cell>
          <cell r="H1038">
            <v>0.59917465323255303</v>
          </cell>
          <cell r="I1038">
            <v>5.9613975722177998E-2</v>
          </cell>
          <cell r="J1038">
            <v>0.32842213987056101</v>
          </cell>
        </row>
        <row r="1039">
          <cell r="A1039" t="str">
            <v>ITOT-SWHH2BR</v>
          </cell>
          <cell r="B1039" t="str">
            <v>VAR_cap</v>
          </cell>
          <cell r="C1039" t="str">
            <v>-</v>
          </cell>
          <cell r="H1039">
            <v>0.59917465323255303</v>
          </cell>
          <cell r="I1039">
            <v>0.65877684858844876</v>
          </cell>
          <cell r="J1039">
            <v>0.62510917413736933</v>
          </cell>
        </row>
        <row r="1040">
          <cell r="A1040" t="str">
            <v>RHNS-SHSTG-ELC</v>
          </cell>
          <cell r="B1040" t="str">
            <v>VAR_fout</v>
          </cell>
          <cell r="C1040" t="str">
            <v>RHNS-SHAELCB</v>
          </cell>
          <cell r="H1040">
            <v>1.2360285974957598E-3</v>
          </cell>
          <cell r="I1040">
            <v>2.2860567386498529E-3</v>
          </cell>
          <cell r="J1040">
            <v>1.1065992823221273E-3</v>
          </cell>
        </row>
        <row r="1041">
          <cell r="A1041" t="str">
            <v>RHNS-SHSTG-ELC</v>
          </cell>
          <cell r="B1041" t="str">
            <v>VAR_fout</v>
          </cell>
          <cell r="C1041" t="str">
            <v>AUX_RHNS-SHSTG-ELC_OUT</v>
          </cell>
          <cell r="H1041">
            <v>1.2372646260932552E-3</v>
          </cell>
          <cell r="I1041">
            <v>2.2883427953885008E-3</v>
          </cell>
          <cell r="J1041">
            <v>1.1077058816044497E-3</v>
          </cell>
        </row>
        <row r="1042">
          <cell r="A1042" t="str">
            <v>RHNS-SHSTG-ELC</v>
          </cell>
          <cell r="B1042" t="str">
            <v>VAR_fin</v>
          </cell>
          <cell r="C1042" t="str">
            <v>RHNS-SHAELCB</v>
          </cell>
          <cell r="H1042">
            <v>1.2283963359105759E-3</v>
          </cell>
          <cell r="I1042">
            <v>2.2735703817725111E-3</v>
          </cell>
          <cell r="J1042">
            <v>1.1050062751828281E-3</v>
          </cell>
        </row>
        <row r="1043">
          <cell r="A1043" t="str">
            <v>RHNS-SHSTG-ELC</v>
          </cell>
          <cell r="B1043" t="str">
            <v>VAR_ncap</v>
          </cell>
          <cell r="C1043" t="str">
            <v>-</v>
          </cell>
          <cell r="H1043">
            <v>2.6483599961302001E-4</v>
          </cell>
          <cell r="I1043">
            <v>1.16691996917672E-4</v>
          </cell>
          <cell r="J1043">
            <v>5.1469898277157401E-5</v>
          </cell>
        </row>
        <row r="1044">
          <cell r="A1044" t="str">
            <v>RHNS-SHSTG-ELC</v>
          </cell>
          <cell r="B1044" t="str">
            <v>VAR_cap</v>
          </cell>
          <cell r="C1044" t="str">
            <v>-</v>
          </cell>
          <cell r="H1044">
            <v>8.7598928306960604E-4</v>
          </cell>
          <cell r="I1044">
            <v>4.0068058875493369E-4</v>
          </cell>
          <cell r="J1044">
            <v>1.6977679749066181E-4</v>
          </cell>
        </row>
        <row r="1045">
          <cell r="A1045" t="str">
            <v>RHES-SHCOABR</v>
          </cell>
          <cell r="B1045" t="str">
            <v>VAR_fout</v>
          </cell>
          <cell r="C1045" t="str">
            <v>CO2_R</v>
          </cell>
        </row>
        <row r="1046">
          <cell r="A1046" t="str">
            <v>RHES-SHCOABR</v>
          </cell>
          <cell r="B1046" t="str">
            <v>VAR_fout</v>
          </cell>
          <cell r="C1046" t="str">
            <v>RHES-SHCOA</v>
          </cell>
        </row>
        <row r="1047">
          <cell r="A1047" t="str">
            <v>RHES-SHCOABR</v>
          </cell>
          <cell r="B1047" t="str">
            <v>VAR_fin</v>
          </cell>
          <cell r="C1047" t="str">
            <v>RCOA</v>
          </cell>
        </row>
        <row r="1048">
          <cell r="A1048" t="str">
            <v>RHES-SHCOABR</v>
          </cell>
          <cell r="B1048" t="str">
            <v>VAR_cap</v>
          </cell>
          <cell r="C1048" t="str">
            <v>-</v>
          </cell>
          <cell r="H1048">
            <v>1.107263068299974E-6</v>
          </cell>
        </row>
        <row r="1049">
          <cell r="A1049" t="str">
            <v>D-INGA</v>
          </cell>
          <cell r="B1049" t="str">
            <v>VAR_fout</v>
          </cell>
          <cell r="C1049" t="str">
            <v>CO2</v>
          </cell>
          <cell r="H1049">
            <v>587.86944803340805</v>
          </cell>
          <cell r="I1049">
            <v>195.21604894817099</v>
          </cell>
          <cell r="J1049">
            <v>87.735311341749295</v>
          </cell>
        </row>
        <row r="1050">
          <cell r="A1050" t="str">
            <v>D-INGA</v>
          </cell>
          <cell r="B1050" t="str">
            <v>VAR_fout</v>
          </cell>
          <cell r="C1050" t="str">
            <v>IH2</v>
          </cell>
          <cell r="H1050">
            <v>0.31685418705362506</v>
          </cell>
          <cell r="I1050">
            <v>0.18200404027151629</v>
          </cell>
          <cell r="J1050">
            <v>0.12429699184659726</v>
          </cell>
        </row>
        <row r="1051">
          <cell r="A1051" t="str">
            <v>D-INGA</v>
          </cell>
          <cell r="B1051" t="str">
            <v>VAR_fout</v>
          </cell>
          <cell r="C1051" t="str">
            <v>INGA</v>
          </cell>
          <cell r="H1051">
            <v>12.809408348014363</v>
          </cell>
          <cell r="I1051">
            <v>5.8700000152633054</v>
          </cell>
          <cell r="J1051">
            <v>4.0076603991531918</v>
          </cell>
        </row>
        <row r="1052">
          <cell r="A1052" t="str">
            <v>D-INGA</v>
          </cell>
          <cell r="B1052" t="str">
            <v>VAR_fin</v>
          </cell>
          <cell r="C1052" t="str">
            <v>NGA</v>
          </cell>
          <cell r="H1052">
            <v>10.423217163712916</v>
          </cell>
          <cell r="I1052">
            <v>3.4612774636200458</v>
          </cell>
          <cell r="J1052">
            <v>1.5555906266267603</v>
          </cell>
        </row>
        <row r="1053">
          <cell r="A1053" t="str">
            <v>D-INGA</v>
          </cell>
          <cell r="B1053" t="str">
            <v>VAR_fin</v>
          </cell>
          <cell r="C1053" t="str">
            <v>BNGA</v>
          </cell>
          <cell r="H1053">
            <v>2.4284265125864293</v>
          </cell>
          <cell r="I1053">
            <v>2.4284281731219908</v>
          </cell>
          <cell r="J1053">
            <v>2.4657021513765938</v>
          </cell>
        </row>
        <row r="1054">
          <cell r="A1054" t="str">
            <v>D-INGA</v>
          </cell>
          <cell r="B1054" t="str">
            <v>VAR_fin</v>
          </cell>
          <cell r="C1054" t="str">
            <v>H2</v>
          </cell>
          <cell r="H1054">
            <v>0.31685321387818333</v>
          </cell>
          <cell r="I1054">
            <v>0.18200150309329099</v>
          </cell>
          <cell r="J1054">
            <v>0.12428556845826194</v>
          </cell>
        </row>
        <row r="1055">
          <cell r="A1055" t="str">
            <v>D-INGA</v>
          </cell>
          <cell r="B1055" t="str">
            <v>VAR_ncap</v>
          </cell>
          <cell r="C1055" t="str">
            <v>-</v>
          </cell>
          <cell r="H1055">
            <v>6.3389896674529497E-6</v>
          </cell>
          <cell r="I1055">
            <v>4.7821480988351704E-6</v>
          </cell>
          <cell r="J1055">
            <v>1.03088712078142E-5</v>
          </cell>
        </row>
        <row r="1056">
          <cell r="A1056" t="str">
            <v>D-INGA</v>
          </cell>
          <cell r="B1056" t="str">
            <v>VAR_cap</v>
          </cell>
          <cell r="C1056" t="str">
            <v>-</v>
          </cell>
          <cell r="H1056">
            <v>1.9844957629659306</v>
          </cell>
          <cell r="I1056">
            <v>1.9845005451140294</v>
          </cell>
          <cell r="J1056">
            <v>1.0954869211650571</v>
          </cell>
        </row>
        <row r="1057">
          <cell r="A1057" t="str">
            <v>RHEM-SHNGAHP</v>
          </cell>
          <cell r="B1057" t="str">
            <v>VAR_fout</v>
          </cell>
          <cell r="C1057" t="str">
            <v>CO2_R</v>
          </cell>
          <cell r="H1057">
            <v>245.672794821667</v>
          </cell>
          <cell r="I1057">
            <v>298.96476435670502</v>
          </cell>
          <cell r="J1057">
            <v>258.26516684557799</v>
          </cell>
        </row>
        <row r="1058">
          <cell r="A1058" t="str">
            <v>RHEM-SHNGAHP</v>
          </cell>
          <cell r="B1058" t="str">
            <v>VAR_fout</v>
          </cell>
          <cell r="C1058" t="str">
            <v>RHEM-SHANGAH</v>
          </cell>
          <cell r="H1058">
            <v>8.6325907124770023</v>
          </cell>
          <cell r="I1058">
            <v>10.635937256038403</v>
          </cell>
          <cell r="J1058">
            <v>9.6899845421811115</v>
          </cell>
        </row>
        <row r="1059">
          <cell r="A1059" t="str">
            <v>RHEM-SHNGAHP</v>
          </cell>
          <cell r="B1059" t="str">
            <v>VAR_fin</v>
          </cell>
          <cell r="C1059" t="str">
            <v>RHEMELCHPC</v>
          </cell>
          <cell r="H1059">
            <v>8.6325907124770023</v>
          </cell>
          <cell r="I1059">
            <v>10.635937256038403</v>
          </cell>
          <cell r="J1059">
            <v>9.6899845421811115</v>
          </cell>
        </row>
        <row r="1060">
          <cell r="A1060" t="str">
            <v>RHEM-SHNGAHP</v>
          </cell>
          <cell r="B1060" t="str">
            <v>VAR_fin</v>
          </cell>
          <cell r="C1060" t="str">
            <v>RNGA</v>
          </cell>
          <cell r="H1060">
            <v>4.3559006174054486</v>
          </cell>
          <cell r="I1060">
            <v>5.3007936942678242</v>
          </cell>
          <cell r="J1060">
            <v>4.5791696249215912</v>
          </cell>
        </row>
        <row r="1061">
          <cell r="A1061" t="str">
            <v>RHEM-SHNGAHP</v>
          </cell>
          <cell r="B1061" t="str">
            <v>VAR_ncap</v>
          </cell>
          <cell r="C1061" t="str">
            <v>-</v>
          </cell>
          <cell r="H1061">
            <v>0.119092019370638</v>
          </cell>
          <cell r="I1061">
            <v>0.38413368591091701</v>
          </cell>
          <cell r="J1061">
            <v>0.35650563258503498</v>
          </cell>
        </row>
        <row r="1062">
          <cell r="A1062" t="str">
            <v>RHEM-SHNGAHP</v>
          </cell>
          <cell r="B1062" t="str">
            <v>VAR_cap</v>
          </cell>
          <cell r="C1062" t="str">
            <v>-</v>
          </cell>
          <cell r="H1062">
            <v>0.60963282426309862</v>
          </cell>
          <cell r="I1062">
            <v>0.75130792209723118</v>
          </cell>
          <cell r="J1062">
            <v>0.68565930259241625</v>
          </cell>
        </row>
        <row r="1063">
          <cell r="A1063" t="str">
            <v>D-SPLT</v>
          </cell>
          <cell r="B1063" t="str">
            <v>VAR_fout</v>
          </cell>
          <cell r="C1063" t="str">
            <v>SPLT</v>
          </cell>
          <cell r="H1063">
            <v>0.81958070322726606</v>
          </cell>
          <cell r="I1063">
            <v>1.0403624874905346</v>
          </cell>
          <cell r="J1063">
            <v>1.0853210851587736</v>
          </cell>
        </row>
        <row r="1064">
          <cell r="A1064" t="str">
            <v>D-SPLT</v>
          </cell>
          <cell r="B1064" t="str">
            <v>VAR_fin</v>
          </cell>
          <cell r="C1064" t="str">
            <v>PLT</v>
          </cell>
          <cell r="H1064">
            <v>0.81958070322726606</v>
          </cell>
          <cell r="I1064">
            <v>1.0403624874905346</v>
          </cell>
          <cell r="J1064">
            <v>1.0853210851587736</v>
          </cell>
        </row>
        <row r="1065">
          <cell r="A1065" t="str">
            <v>RHES-SHCONBR</v>
          </cell>
          <cell r="B1065" t="str">
            <v>VAR_fout</v>
          </cell>
          <cell r="C1065" t="str">
            <v>RHES-SHCON</v>
          </cell>
          <cell r="H1065">
            <v>3.2239388277178067E-4</v>
          </cell>
          <cell r="I1065">
            <v>3.3043451608614068E-4</v>
          </cell>
          <cell r="J1065">
            <v>3.3581149197950763E-4</v>
          </cell>
        </row>
        <row r="1066">
          <cell r="A1066" t="str">
            <v>RHES-SHCONBR</v>
          </cell>
          <cell r="B1066" t="str">
            <v>VAR_fin</v>
          </cell>
          <cell r="C1066" t="str">
            <v>CON</v>
          </cell>
          <cell r="H1066">
            <v>3.2239388277178067E-4</v>
          </cell>
          <cell r="I1066">
            <v>3.3043451608614068E-4</v>
          </cell>
          <cell r="J1066">
            <v>3.3581149197950763E-4</v>
          </cell>
        </row>
        <row r="1067">
          <cell r="A1067" t="str">
            <v>RHES-SHCONBR</v>
          </cell>
          <cell r="B1067" t="str">
            <v>VAR_ncap</v>
          </cell>
          <cell r="C1067" t="str">
            <v>-</v>
          </cell>
          <cell r="H1067">
            <v>1.30975063176353E-5</v>
          </cell>
          <cell r="I1067">
            <v>8.7467806556577101E-7</v>
          </cell>
          <cell r="J1067">
            <v>7.0139620980750402E-7</v>
          </cell>
        </row>
        <row r="1068">
          <cell r="A1068" t="str">
            <v>RHES-SHCONBR</v>
          </cell>
          <cell r="B1068" t="str">
            <v>VAR_cap</v>
          </cell>
          <cell r="C1068" t="str">
            <v>-</v>
          </cell>
          <cell r="H1068">
            <v>2.2368095133470929E-5</v>
          </cell>
          <cell r="I1068">
            <v>2.3211403890438738E-5</v>
          </cell>
          <cell r="J1068">
            <v>2.4033684079338665E-5</v>
          </cell>
        </row>
        <row r="1069">
          <cell r="A1069" t="str">
            <v>RHSA-WHSOLBR</v>
          </cell>
          <cell r="B1069" t="str">
            <v>VAR_fout</v>
          </cell>
          <cell r="C1069" t="str">
            <v>RHSA-WHASOL</v>
          </cell>
          <cell r="H1069">
            <v>1.1451840329298697</v>
          </cell>
          <cell r="I1069">
            <v>1.2625694850540357</v>
          </cell>
          <cell r="J1069">
            <v>1.2989392938616402</v>
          </cell>
        </row>
        <row r="1070">
          <cell r="A1070" t="str">
            <v>RHSA-WHSOLBR</v>
          </cell>
          <cell r="B1070" t="str">
            <v>VAR_fin</v>
          </cell>
          <cell r="C1070" t="str">
            <v>SOL</v>
          </cell>
          <cell r="H1070">
            <v>1.1451840329298697</v>
          </cell>
          <cell r="I1070">
            <v>1.2625694850540357</v>
          </cell>
          <cell r="J1070">
            <v>1.2989392938616402</v>
          </cell>
        </row>
        <row r="1071">
          <cell r="A1071" t="str">
            <v>RHSA-WHSOLBR</v>
          </cell>
          <cell r="B1071" t="str">
            <v>VAR_fin</v>
          </cell>
          <cell r="C1071" t="str">
            <v>RHSASOLBRC</v>
          </cell>
          <cell r="H1071">
            <v>1.1451840329298697</v>
          </cell>
          <cell r="I1071">
            <v>1.2625694850540357</v>
          </cell>
          <cell r="J1071">
            <v>1.2989392938616402</v>
          </cell>
        </row>
        <row r="1072">
          <cell r="A1072" t="str">
            <v>RHSA-WHSOLBR</v>
          </cell>
          <cell r="B1072" t="str">
            <v>VAR_ncap</v>
          </cell>
          <cell r="C1072" t="str">
            <v>-</v>
          </cell>
          <cell r="H1072">
            <v>0.13234804582611301</v>
          </cell>
          <cell r="I1072">
            <v>0.15703966951013701</v>
          </cell>
          <cell r="J1072">
            <v>0.12941608162669899</v>
          </cell>
        </row>
        <row r="1073">
          <cell r="A1073" t="str">
            <v>RHSA-WHSOLBR</v>
          </cell>
          <cell r="B1073" t="str">
            <v>VAR_cap</v>
          </cell>
          <cell r="C1073" t="str">
            <v>-</v>
          </cell>
          <cell r="H1073">
            <v>0.23940040996836531</v>
          </cell>
          <cell r="I1073">
            <v>0.28938802218464804</v>
          </cell>
          <cell r="J1073">
            <v>0.29936682786986774</v>
          </cell>
        </row>
        <row r="1074">
          <cell r="A1074" t="str">
            <v>SCOM-SHCONBR</v>
          </cell>
          <cell r="B1074" t="str">
            <v>VAR_ncap</v>
          </cell>
          <cell r="C1074" t="str">
            <v>-</v>
          </cell>
          <cell r="H1074">
            <v>9.0213880911730101E-7</v>
          </cell>
          <cell r="I1074">
            <v>3.0727966873993898E-8</v>
          </cell>
          <cell r="J1074">
            <v>2.0978664801675101E-8</v>
          </cell>
        </row>
        <row r="1075">
          <cell r="A1075" t="str">
            <v>SCOM-SHCONBR</v>
          </cell>
          <cell r="B1075" t="str">
            <v>VAR_cap</v>
          </cell>
          <cell r="C1075" t="str">
            <v>-</v>
          </cell>
          <cell r="H1075">
            <v>9.7896299808172565E-7</v>
          </cell>
          <cell r="I1075">
            <v>9.7882369060502993E-7</v>
          </cell>
          <cell r="J1075">
            <v>1.0590647215868261E-6</v>
          </cell>
        </row>
        <row r="1076">
          <cell r="A1076" t="str">
            <v>RHNM-SHNGABR</v>
          </cell>
          <cell r="B1076" t="str">
            <v>VAR_fout</v>
          </cell>
          <cell r="C1076" t="str">
            <v>CO2_R</v>
          </cell>
          <cell r="H1076">
            <v>9.0429477767978295</v>
          </cell>
          <cell r="I1076">
            <v>5.5356827074259796</v>
          </cell>
        </row>
        <row r="1077">
          <cell r="A1077" t="str">
            <v>RHNM-SHNGABR</v>
          </cell>
          <cell r="B1077" t="str">
            <v>VAR_fout</v>
          </cell>
          <cell r="C1077" t="str">
            <v>RHNM-SHNGA</v>
          </cell>
          <cell r="H1077">
            <v>0.15388145481128823</v>
          </cell>
          <cell r="I1077">
            <v>9.4199251109027507E-2</v>
          </cell>
        </row>
        <row r="1078">
          <cell r="A1078" t="str">
            <v>RHNM-SHNGABR</v>
          </cell>
          <cell r="B1078" t="str">
            <v>VAR_fin</v>
          </cell>
          <cell r="C1078" t="str">
            <v>RNGA</v>
          </cell>
          <cell r="H1078">
            <v>0.16033595348932336</v>
          </cell>
          <cell r="I1078">
            <v>9.8150402613935858E-2</v>
          </cell>
        </row>
        <row r="1079">
          <cell r="A1079" t="str">
            <v>RHNM-SHNGABR</v>
          </cell>
          <cell r="B1079" t="str">
            <v>VAR_ncap</v>
          </cell>
          <cell r="C1079" t="str">
            <v>-</v>
          </cell>
          <cell r="H1079">
            <v>6.6222957387856497E-5</v>
          </cell>
          <cell r="I1079">
            <v>7.4702828929755502E-3</v>
          </cell>
          <cell r="J1079">
            <v>6.1638929976812397E-7</v>
          </cell>
        </row>
        <row r="1080">
          <cell r="A1080" t="str">
            <v>RHNM-SHNGABR</v>
          </cell>
          <cell r="B1080" t="str">
            <v>VAR_cap</v>
          </cell>
          <cell r="C1080" t="str">
            <v>-</v>
          </cell>
          <cell r="H1080">
            <v>1.47571341625654E-2</v>
          </cell>
          <cell r="I1080">
            <v>7.5375936527319505E-3</v>
          </cell>
          <cell r="J1080">
            <v>2.257158408235007E-5</v>
          </cell>
        </row>
        <row r="1081">
          <cell r="A1081" t="str">
            <v>RHES-SHSOLBR</v>
          </cell>
          <cell r="B1081" t="str">
            <v>VAR_fout</v>
          </cell>
          <cell r="C1081" t="str">
            <v>RHES-SHASOL</v>
          </cell>
          <cell r="H1081">
            <v>2.278746918173687E-2</v>
          </cell>
          <cell r="I1081">
            <v>2.2354405648768783E-2</v>
          </cell>
          <cell r="J1081">
            <v>2.0377464805450954E-2</v>
          </cell>
        </row>
        <row r="1082">
          <cell r="A1082" t="str">
            <v>RHES-SHSOLBR</v>
          </cell>
          <cell r="B1082" t="str">
            <v>VAR_fin</v>
          </cell>
          <cell r="C1082" t="str">
            <v>SOL</v>
          </cell>
          <cell r="H1082">
            <v>2.278746918173687E-2</v>
          </cell>
          <cell r="I1082">
            <v>2.2354405648768783E-2</v>
          </cell>
          <cell r="J1082">
            <v>2.0377464805450954E-2</v>
          </cell>
        </row>
        <row r="1083">
          <cell r="A1083" t="str">
            <v>RHES-SHSOLBR</v>
          </cell>
          <cell r="B1083" t="str">
            <v>VAR_ncap</v>
          </cell>
          <cell r="C1083" t="str">
            <v>-</v>
          </cell>
          <cell r="H1083">
            <v>3.0894203529595602E-6</v>
          </cell>
          <cell r="I1083">
            <v>3.3421292583280899E-3</v>
          </cell>
          <cell r="J1083">
            <v>5.9049056471320398E-4</v>
          </cell>
        </row>
        <row r="1084">
          <cell r="A1084" t="str">
            <v>RHES-SHSOLBR</v>
          </cell>
          <cell r="B1084" t="str">
            <v>VAR_cap</v>
          </cell>
          <cell r="C1084" t="str">
            <v>-</v>
          </cell>
          <cell r="H1084">
            <v>1.8497739317853971E-2</v>
          </cell>
          <cell r="I1084">
            <v>3.345111241829726E-3</v>
          </cell>
          <cell r="J1084">
            <v>3.0169618072801636E-3</v>
          </cell>
        </row>
        <row r="1085">
          <cell r="A1085" t="str">
            <v>SCOM-SHSOLBR</v>
          </cell>
          <cell r="B1085" t="str">
            <v>VAR_fout</v>
          </cell>
          <cell r="C1085" t="str">
            <v>SCOM-SHASOL</v>
          </cell>
          <cell r="H1085">
            <v>0.66784321830606108</v>
          </cell>
          <cell r="I1085">
            <v>0.7508369473269777</v>
          </cell>
          <cell r="J1085">
            <v>0.80491151836887531</v>
          </cell>
        </row>
        <row r="1086">
          <cell r="A1086" t="str">
            <v>SCOM-SHSOLBR</v>
          </cell>
          <cell r="B1086" t="str">
            <v>VAR_fin</v>
          </cell>
          <cell r="C1086" t="str">
            <v>SOL</v>
          </cell>
          <cell r="H1086">
            <v>0.66784321830606108</v>
          </cell>
          <cell r="I1086">
            <v>0.7508369473269777</v>
          </cell>
          <cell r="J1086">
            <v>0.80491151836887531</v>
          </cell>
        </row>
        <row r="1087">
          <cell r="A1087" t="str">
            <v>SCOM-SHSOLBR</v>
          </cell>
          <cell r="B1087" t="str">
            <v>VAR_ncap</v>
          </cell>
          <cell r="C1087" t="str">
            <v>-</v>
          </cell>
          <cell r="H1087">
            <v>6.9000704996092302E-2</v>
          </cell>
          <cell r="I1087">
            <v>4.8836259698626899E-2</v>
          </cell>
          <cell r="J1087">
            <v>6.2274663842732399E-2</v>
          </cell>
        </row>
        <row r="1088">
          <cell r="A1088" t="str">
            <v>SCOM-SHSOLBR</v>
          </cell>
          <cell r="B1088" t="str">
            <v>VAR_cap</v>
          </cell>
          <cell r="C1088" t="str">
            <v>-</v>
          </cell>
          <cell r="H1088">
            <v>9.7116333103667268E-2</v>
          </cell>
          <cell r="I1088">
            <v>0.11783825507858732</v>
          </cell>
          <cell r="J1088">
            <v>0.12690300575365493</v>
          </cell>
        </row>
        <row r="1089">
          <cell r="A1089" t="str">
            <v>RHEM-SHSTG-ELCHP</v>
          </cell>
          <cell r="B1089" t="str">
            <v>VAR_fout</v>
          </cell>
          <cell r="C1089" t="str">
            <v>RHEM-SHAELCH</v>
          </cell>
          <cell r="H1089">
            <v>2.9441304187381414</v>
          </cell>
          <cell r="I1089">
            <v>3.3717284269514818</v>
          </cell>
          <cell r="J1089">
            <v>3.3078134272131798</v>
          </cell>
        </row>
        <row r="1090">
          <cell r="A1090" t="str">
            <v>RHEM-SHSTG-ELCHP</v>
          </cell>
          <cell r="B1090" t="str">
            <v>VAR_fout</v>
          </cell>
          <cell r="C1090" t="str">
            <v>AUX_RHEM-SHSTG-ELCHP_OUT</v>
          </cell>
          <cell r="H1090">
            <v>2.9470745491568802</v>
          </cell>
          <cell r="I1090">
            <v>3.3751001553784326</v>
          </cell>
          <cell r="J1090">
            <v>3.3111212406403947</v>
          </cell>
        </row>
        <row r="1091">
          <cell r="A1091" t="str">
            <v>RHEM-SHSTG-ELCHP</v>
          </cell>
          <cell r="B1091" t="str">
            <v>VAR_fin</v>
          </cell>
          <cell r="C1091" t="str">
            <v>RHEM-SHAELCH</v>
          </cell>
          <cell r="H1091">
            <v>2.9441495397053887</v>
          </cell>
          <cell r="I1091">
            <v>3.3717468087994282</v>
          </cell>
          <cell r="J1091">
            <v>3.3078328919194706</v>
          </cell>
        </row>
        <row r="1092">
          <cell r="A1092" t="str">
            <v>RHEM-SHSTG-ELCHP</v>
          </cell>
          <cell r="B1092" t="str">
            <v>VAR_ncap</v>
          </cell>
          <cell r="C1092" t="str">
            <v>-</v>
          </cell>
          <cell r="H1092">
            <v>0.19850177762500201</v>
          </cell>
          <cell r="I1092">
            <v>0.13925971754929201</v>
          </cell>
          <cell r="J1092">
            <v>0.20150757363198099</v>
          </cell>
        </row>
        <row r="1093">
          <cell r="A1093" t="str">
            <v>RHEM-SHSTG-ELCHP</v>
          </cell>
          <cell r="B1093" t="str">
            <v>VAR_cap</v>
          </cell>
          <cell r="C1093" t="str">
            <v>-</v>
          </cell>
          <cell r="H1093">
            <v>0.3030589605381277</v>
          </cell>
          <cell r="I1093">
            <v>0.37481629650223797</v>
          </cell>
          <cell r="J1093">
            <v>0.38641817437546172</v>
          </cell>
        </row>
        <row r="1094">
          <cell r="A1094" t="str">
            <v>ITOT-SWHELCBR</v>
          </cell>
          <cell r="B1094" t="str">
            <v>VAR_fout</v>
          </cell>
          <cell r="C1094" t="str">
            <v>ITOT-SWHAELC</v>
          </cell>
          <cell r="H1094">
            <v>12.320402433223244</v>
          </cell>
          <cell r="I1094">
            <v>12.3203997160689</v>
          </cell>
          <cell r="J1094">
            <v>12.3203980755295</v>
          </cell>
        </row>
        <row r="1095">
          <cell r="A1095" t="str">
            <v>ITOT-SWHELCBR</v>
          </cell>
          <cell r="B1095" t="str">
            <v>VAR_fin</v>
          </cell>
          <cell r="C1095" t="str">
            <v>ITOT_ELC</v>
          </cell>
          <cell r="H1095">
            <v>14.563683829246827</v>
          </cell>
          <cell r="I1095">
            <v>14.544470529770017</v>
          </cell>
          <cell r="J1095">
            <v>14.506200056307582</v>
          </cell>
        </row>
        <row r="1096">
          <cell r="A1096" t="str">
            <v>ITOT-SWHELCBR</v>
          </cell>
          <cell r="B1096" t="str">
            <v>VAR_ncap</v>
          </cell>
          <cell r="C1096" t="str">
            <v>-</v>
          </cell>
          <cell r="H1096">
            <v>0.78583254688369997</v>
          </cell>
          <cell r="I1096">
            <v>7.8247435932689902E-2</v>
          </cell>
          <cell r="J1096">
            <v>0.66305250715316499</v>
          </cell>
        </row>
        <row r="1097">
          <cell r="A1097" t="str">
            <v>ITOT-SWHELCBR</v>
          </cell>
          <cell r="B1097" t="str">
            <v>VAR_cap</v>
          </cell>
          <cell r="C1097" t="str">
            <v>-</v>
          </cell>
          <cell r="H1097">
            <v>1.2244727222054057</v>
          </cell>
          <cell r="I1097">
            <v>0.98370957251099134</v>
          </cell>
          <cell r="J1097">
            <v>1.0522117874916335</v>
          </cell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772.41761954407741</v>
          </cell>
          <cell r="K4">
            <v>1055.5782244319676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720.88718455884873</v>
          </cell>
          <cell r="K5">
            <v>894.33943413287739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51.222879265905341</v>
          </cell>
          <cell r="K6">
            <v>54.787334374624649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0.30755571932392284</v>
          </cell>
          <cell r="K7">
            <v>106.45145592446698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-41.025546545401539</v>
          </cell>
          <cell r="K8">
            <v>-45.577694972282956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607.22272771806604</v>
          </cell>
          <cell r="K9">
            <v>2395.4534893070809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677.34471273899305</v>
          </cell>
          <cell r="K10">
            <v>2285.5701177151172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222.81575973802978</v>
          </cell>
          <cell r="K11">
            <v>351.71945039019766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7.5236316959522593</v>
          </cell>
          <cell r="K12">
            <v>37.989051403192192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90.010063918401741</v>
          </cell>
          <cell r="K13">
            <v>381.22382914380387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0.61004096478763281</v>
          </cell>
          <cell r="K14">
            <v>349.21330702255807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0.26758354137525586</v>
          </cell>
          <cell r="K15">
            <v>857.65665557011209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2.027441874676153E-2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8.7021597576200389E-3</v>
          </cell>
          <cell r="K17">
            <v>2.9823172007815504E-2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1605.7492502577941</v>
          </cell>
          <cell r="K18">
            <v>6658.8157470020915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-41.592476254897726</v>
          </cell>
          <cell r="K19">
            <v>-46.317057536085876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833.33163071371951</v>
          </cell>
          <cell r="K20">
            <v>3461.5395456377323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833.33163071371951</v>
          </cell>
          <cell r="K21">
            <v>3461.5395456377323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-41.025546545401539</v>
          </cell>
          <cell r="K22">
            <v>-45.577694972282956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9.0183814678017509</v>
          </cell>
          <cell r="J23">
            <v>7.0073047290130699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28.1977146458036</v>
          </cell>
          <cell r="J24">
            <v>33.679000341831298</v>
          </cell>
          <cell r="K24">
            <v>36.391042286453903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1.1008953922420801</v>
          </cell>
          <cell r="J25">
            <v>0.25654557809053502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572.52474426115896</v>
          </cell>
          <cell r="J26">
            <v>235.216910803969</v>
          </cell>
          <cell r="K26">
            <v>88.893882920996106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118.48489851199101</v>
          </cell>
          <cell r="J27">
            <v>148.477011711139</v>
          </cell>
          <cell r="K27">
            <v>141.93472339807099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614.33025285218298</v>
          </cell>
          <cell r="J28">
            <v>254.13270971758499</v>
          </cell>
          <cell r="K28">
            <v>43.919957395307897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193.68238573006499</v>
          </cell>
          <cell r="J29">
            <v>223.43860014392001</v>
          </cell>
          <cell r="K29">
            <v>198.17125802425301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5.2952474602436199</v>
          </cell>
          <cell r="J30">
            <v>4.7304568076359903</v>
          </cell>
          <cell r="K30">
            <v>2.2220413266408299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4.3791858556296903</v>
          </cell>
          <cell r="J31">
            <v>4.0044019021778201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1.3086544130683</v>
          </cell>
          <cell r="J32">
            <v>0.35950789584467002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35.847533860991597</v>
          </cell>
          <cell r="J33">
            <v>42.667590099272999</v>
          </cell>
          <cell r="K33">
            <v>45.787167430761798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300.57056825910797</v>
          </cell>
          <cell r="J34">
            <v>143.167637529096</v>
          </cell>
          <cell r="K34">
            <v>58.016207665487499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245.65299066067999</v>
          </cell>
          <cell r="J35">
            <v>151.10466702702601</v>
          </cell>
          <cell r="K35">
            <v>70.472557758157507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207.24534672187499</v>
          </cell>
          <cell r="J36">
            <v>116.899841651234</v>
          </cell>
          <cell r="K36">
            <v>18.910316880540101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356.13894539153802</v>
          </cell>
          <cell r="J37">
            <v>124.069041557353</v>
          </cell>
          <cell r="K37">
            <v>16.197421905623401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0.50247455087919601</v>
          </cell>
          <cell r="J38">
            <v>0.19341118897298401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2.8873708318093798</v>
          </cell>
          <cell r="J39">
            <v>0.40801716431130503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245.672794821667</v>
          </cell>
          <cell r="J41">
            <v>298.96476435670502</v>
          </cell>
          <cell r="K41">
            <v>258.26516684557799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9.0429477767978295</v>
          </cell>
          <cell r="J42">
            <v>5.5356827074259796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2951.8833334655301</v>
          </cell>
          <cell r="J43">
            <v>1794.3131029126</v>
          </cell>
          <cell r="K43">
            <v>979.18174383787004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238.69789938793599</v>
          </cell>
          <cell r="J44">
            <v>294.26734895007201</v>
          </cell>
          <cell r="K44">
            <v>282.74305005055498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1.33996092344006</v>
          </cell>
          <cell r="J45">
            <v>0.22889509692677701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634.929789387494</v>
          </cell>
          <cell r="J46">
            <v>336.51819093360302</v>
          </cell>
          <cell r="K46">
            <v>127.192224620601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867.933690241097</v>
          </cell>
          <cell r="J47">
            <v>500.22590305927503</v>
          </cell>
          <cell r="K47">
            <v>94.317218481557504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1742.9013399399701</v>
          </cell>
          <cell r="J48">
            <v>1131.24033803988</v>
          </cell>
          <cell r="K48">
            <v>504.25249315271299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3.0449106273844189</v>
          </cell>
          <cell r="J50">
            <v>1.488598949582431</v>
          </cell>
          <cell r="K50">
            <v>0.108557539211677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0.68664189415218901</v>
          </cell>
          <cell r="J51">
            <v>0.32701741361350622</v>
          </cell>
          <cell r="K51">
            <v>3.0993911624586798E-2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3.2727027456698043</v>
          </cell>
          <cell r="J52">
            <v>1.4596312880508622</v>
          </cell>
          <cell r="K52">
            <v>0.23458057861302439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879.11087511678602</v>
          </cell>
          <cell r="J53">
            <v>401.63077679501788</v>
          </cell>
          <cell r="K53">
            <v>58.169444791731827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4.5246292674574349</v>
          </cell>
          <cell r="J54">
            <v>0.95989090378904096</v>
          </cell>
          <cell r="K54">
            <v>0.1148968677300163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83.820305783537009</v>
          </cell>
          <cell r="J55">
            <v>7.2120577915197197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3.7431443737565545E-2</v>
          </cell>
          <cell r="J58">
            <v>1.3387325047269229E-2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0.15732205735017718</v>
          </cell>
          <cell r="J59">
            <v>1.4076078306239101E-2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0.54379656632556794</v>
          </cell>
          <cell r="J60">
            <v>5.1806751376201499E-2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0.12512418337584258</v>
          </cell>
          <cell r="J61">
            <v>2.4714716450138091E-2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0.44915996569507516</v>
          </cell>
          <cell r="J62">
            <v>2.9013270662969583E-2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8.0559251941717105E-2</v>
          </cell>
          <cell r="J63">
            <v>2.2685112834125318E-2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8.3816203062653111E-2</v>
          </cell>
          <cell r="J64">
            <v>2.0684074241929029E-2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6.0615580796697266E-2</v>
          </cell>
          <cell r="J65">
            <v>1.6672815016130028E-2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8.8676876545532898E-2</v>
          </cell>
          <cell r="J66">
            <v>1.995374463540368E-2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6.3472438316192314E-2</v>
          </cell>
          <cell r="J67">
            <v>1.560303768142008E-2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0.1084620172940253</v>
          </cell>
          <cell r="J68">
            <v>2.4164579297527682E-2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6.4821385264051373E-2</v>
          </cell>
          <cell r="J69">
            <v>1.480051368396315E-2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1.1724143942875799E-3</v>
          </cell>
          <cell r="J70">
            <v>1.5064355348872E-3</v>
          </cell>
          <cell r="K70">
            <v>6.4393994677630596E-4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4.7827231169685659E-2</v>
          </cell>
          <cell r="J71">
            <v>1.138469288504881E-2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I72">
            <v>1.63120943863167E-3</v>
          </cell>
          <cell r="J72">
            <v>2.0919951688172398E-3</v>
          </cell>
          <cell r="K72">
            <v>1.5458126249729069E-3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I73">
            <v>1.105640419816365E-4</v>
          </cell>
          <cell r="J73">
            <v>1.2711675099071199E-3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J74">
            <v>4.4051914401862601E-5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6.15041428605387</v>
          </cell>
          <cell r="J76">
            <v>8.2966853220854695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29.272450095731237</v>
          </cell>
          <cell r="J77">
            <v>6.2807008510429112</v>
          </cell>
          <cell r="K77">
            <v>0.54546020507515836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973.09834988204705</v>
          </cell>
          <cell r="J78">
            <v>544.68055839181102</v>
          </cell>
          <cell r="K78">
            <v>149.71886629558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0.79543830381253156</v>
          </cell>
          <cell r="J79">
            <v>5.3397352620518597E-2</v>
          </cell>
          <cell r="K79">
            <v>2.9732127640010923E-2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9.7575951718108733</v>
          </cell>
          <cell r="J80">
            <v>0.22153878231654633</v>
          </cell>
          <cell r="K80">
            <v>3.0713592533256309E-2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1.0587581605347163</v>
          </cell>
          <cell r="J82">
            <v>0.31948180850729108</v>
          </cell>
          <cell r="K82">
            <v>5.1840506326881863E-2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0.15399876230987392</v>
          </cell>
          <cell r="J85">
            <v>2.01845934580312E-2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4.6246567761543692E-2</v>
          </cell>
          <cell r="J86">
            <v>3.7347867370443745E-2</v>
          </cell>
          <cell r="K86">
            <v>1.9738831422984999E-3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I87">
            <v>6.6661976874143408E-2</v>
          </cell>
          <cell r="J87">
            <v>3.3871728452112941E-2</v>
          </cell>
          <cell r="K87">
            <v>3.8775758625557996E-3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0.59861718111986406</v>
          </cell>
          <cell r="J88">
            <v>35.144468192081881</v>
          </cell>
          <cell r="K88">
            <v>20.627709277596303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I89">
            <v>7.1060879802480603E-2</v>
          </cell>
          <cell r="J89">
            <v>4.5077532898590199E-2</v>
          </cell>
          <cell r="K89">
            <v>3.2316453856396799E-3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3.7030204244737162</v>
          </cell>
          <cell r="J90">
            <v>6.1621595989020617E-2</v>
          </cell>
          <cell r="K90">
            <v>2.790428094268721E-2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I91">
            <v>2.8099499741666379E-3</v>
          </cell>
          <cell r="J91">
            <v>5.3256610783292101E-3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I92">
            <v>91.30731548842391</v>
          </cell>
          <cell r="J92">
            <v>3.1749295565109498E-2</v>
          </cell>
          <cell r="K92">
            <v>1.02178471187396E-2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I93">
            <v>8.4597311988397587E-3</v>
          </cell>
          <cell r="J93">
            <v>3.31202713786967E-3</v>
          </cell>
          <cell r="K93">
            <v>3.09389255130958E-3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47.311150236179536</v>
          </cell>
          <cell r="J98">
            <v>6.2489452026634096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75.285572270718092</v>
          </cell>
          <cell r="J99">
            <v>10.876288592937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46.049523804346805</v>
          </cell>
          <cell r="J100">
            <v>4.6297154893766512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9.722517970763736E-2</v>
          </cell>
          <cell r="J101">
            <v>1.767873457238979E-2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20.586990888203093</v>
          </cell>
          <cell r="J102">
            <v>0.17473106776698868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1.6010511120843831</v>
          </cell>
          <cell r="J103">
            <v>1.6307021596399161E-2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166.31861147439506</v>
          </cell>
          <cell r="J104">
            <v>20.636203172212078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10.145041229630518</v>
          </cell>
          <cell r="J105">
            <v>1.5133696665664E-2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5.7417520697866946</v>
          </cell>
          <cell r="J106">
            <v>1.1408739677922511E-2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I108">
            <v>2.394239760985671E-3</v>
          </cell>
          <cell r="J108">
            <v>2.5079251918227502E-3</v>
          </cell>
          <cell r="K108">
            <v>1.5081609581807701E-3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I109">
            <v>2.1756863092560101E-3</v>
          </cell>
          <cell r="J109">
            <v>2.3682111400201598E-3</v>
          </cell>
          <cell r="K109">
            <v>1.5404812057795152E-3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I110">
            <v>3.5434465051534594E-3</v>
          </cell>
          <cell r="J110">
            <v>1.14327234080696E-3</v>
          </cell>
          <cell r="K110">
            <v>3.0314447846685601E-3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0.21686155582510891</v>
          </cell>
          <cell r="J111">
            <v>2.4694563817188257E-2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I112">
            <v>4.8255135696269102E-4</v>
          </cell>
          <cell r="K112">
            <v>2.3091691556597401E-3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2.5076051024831E-2</v>
          </cell>
          <cell r="J113">
            <v>6.5174160409639604E-3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38.018337123390062</v>
          </cell>
          <cell r="J114">
            <v>3.5652779172794058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2.2458898828983056</v>
          </cell>
          <cell r="J115">
            <v>1.6550258452076673E-2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19.514285343205191</v>
          </cell>
          <cell r="J116">
            <v>1.371108941842534E-2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44.115440095383534</v>
          </cell>
          <cell r="J117">
            <v>3.2019336114510741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1.2049674539868047</v>
          </cell>
          <cell r="J118">
            <v>1.422500345732924E-2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0.49953191312641587</v>
          </cell>
          <cell r="J119">
            <v>1.117468467526724E-2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0.95204069760560639</v>
          </cell>
          <cell r="J120">
            <v>1.1886708292193321E-2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598.52695074164467</v>
          </cell>
          <cell r="J121">
            <v>486.46110352150839</v>
          </cell>
          <cell r="K121">
            <v>13.289271479910701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0.11569573289996271</v>
          </cell>
          <cell r="J122">
            <v>0.1013311530145395</v>
          </cell>
          <cell r="K122">
            <v>9.1165766361651392E-3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0.72370646097628699</v>
          </cell>
          <cell r="J123">
            <v>0.34080272534779443</v>
          </cell>
          <cell r="K123">
            <v>3.0454869593216298E-2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2.7885228200030503</v>
          </cell>
          <cell r="J124">
            <v>1.5913356451646374</v>
          </cell>
          <cell r="K124">
            <v>0.24199907264825088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680.85756825474004</v>
          </cell>
          <cell r="J125">
            <v>281.41436935299083</v>
          </cell>
          <cell r="K125">
            <v>39.677839191225672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0.97639972688934196</v>
          </cell>
          <cell r="J126">
            <v>5.5639301394943761</v>
          </cell>
          <cell r="K126">
            <v>1.5407047720686131E-2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3.1218843835056598</v>
          </cell>
          <cell r="J127">
            <v>1.0638771598663956</v>
          </cell>
          <cell r="K127">
            <v>0.1130007095329459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I128">
            <v>18.509253836749846</v>
          </cell>
          <cell r="J128">
            <v>3.0020233637947054</v>
          </cell>
          <cell r="K128">
            <v>1.9473345648954532E-2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I129">
            <v>6.1717373281599421</v>
          </cell>
          <cell r="J129">
            <v>9.0429278515456707E-2</v>
          </cell>
          <cell r="K129">
            <v>9.1035167770330307E-3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I130">
            <v>6.9041255795888297E-3</v>
          </cell>
          <cell r="J130">
            <v>7.10798230280858E-3</v>
          </cell>
          <cell r="K130">
            <v>5.0457749069167499E-4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0.20232882142464903</v>
          </cell>
          <cell r="J131">
            <v>2.7423473261367362E-2</v>
          </cell>
          <cell r="K131">
            <v>1.016234457447629E-2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8.0260947273380401E-2</v>
          </cell>
          <cell r="J132">
            <v>2.1821245917648939E-2</v>
          </cell>
          <cell r="K132">
            <v>8.2237261366297498E-3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I134">
            <v>0.1247046449104714</v>
          </cell>
          <cell r="J134">
            <v>2.2062015974961661E-2</v>
          </cell>
          <cell r="K134">
            <v>5.53708156297247E-3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I135">
            <v>5.5992769162331339E-3</v>
          </cell>
          <cell r="J135">
            <v>3.8816470938714399E-3</v>
          </cell>
          <cell r="K135">
            <v>2.46061209508801E-3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4070.29051163751</v>
          </cell>
          <cell r="J136">
            <v>1992.1891666946401</v>
          </cell>
          <cell r="K136">
            <v>406.24466164440901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-607.22272771806604</v>
          </cell>
          <cell r="K137">
            <v>-2395.45348930708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7221.8678004990197</v>
          </cell>
          <cell r="J138">
            <v>6417.3830481897203</v>
          </cell>
          <cell r="K138">
            <v>4212.3103556813503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0.43116265644329799</v>
          </cell>
          <cell r="J139">
            <v>4.6405620638919703E-2</v>
          </cell>
          <cell r="K139">
            <v>7.7521115580050297E-4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-677.34471273899305</v>
          </cell>
          <cell r="K140">
            <v>-2285.57011771512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424.90349866626099</v>
          </cell>
          <cell r="J142">
            <v>225.271941427619</v>
          </cell>
          <cell r="K142">
            <v>9.2185163971936896E-4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-222.81575973803001</v>
          </cell>
          <cell r="K143">
            <v>-351.71945039019801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-7.5236316959522602</v>
          </cell>
          <cell r="K144">
            <v>-37.9890514031922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2343.9381777871799</v>
          </cell>
          <cell r="J145">
            <v>1166.6588754392201</v>
          </cell>
          <cell r="K145">
            <v>106.451408831796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2085.5365318520599</v>
          </cell>
          <cell r="J146">
            <v>2077.44119661177</v>
          </cell>
          <cell r="K146">
            <v>2063.75173716677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1.7541545354254</v>
          </cell>
          <cell r="J147">
            <v>1.0918536281912099</v>
          </cell>
          <cell r="K147">
            <v>3.0234557092753401E-2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3.6129799009322801</v>
          </cell>
          <cell r="J148">
            <v>1.18758778090239</v>
          </cell>
          <cell r="K148">
            <v>7.3521528419208906E-2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843.04247911649998</v>
          </cell>
          <cell r="J149">
            <v>491.49124083968701</v>
          </cell>
          <cell r="K149">
            <v>236.20218016880099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-2731.5236164103699</v>
          </cell>
          <cell r="J150">
            <v>-942.92821217155199</v>
          </cell>
          <cell r="K150">
            <v>-4212.3101048972203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1717.5075695788801</v>
          </cell>
          <cell r="J151">
            <v>977.07082224525004</v>
          </cell>
          <cell r="K151">
            <v>570.33851686808202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0.54786749310903704</v>
          </cell>
          <cell r="J152">
            <v>3.8028282218702601E-2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882.57626633796201</v>
          </cell>
          <cell r="J153">
            <v>508.65139640366499</v>
          </cell>
          <cell r="K153">
            <v>9.856129558590439E-4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-90.010063918401698</v>
          </cell>
          <cell r="K155">
            <v>-381.22382914380398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1211.2410472111701</v>
          </cell>
          <cell r="J156">
            <v>514.63735136244702</v>
          </cell>
          <cell r="K156">
            <v>1.2494797604871101E-3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1246.62124283803</v>
          </cell>
          <cell r="J157">
            <v>252.974818582729</v>
          </cell>
          <cell r="K157">
            <v>54.787334374624699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-0.61004096478763303</v>
          </cell>
          <cell r="K158">
            <v>-349.21330702255801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-0.26758354137525597</v>
          </cell>
          <cell r="K159">
            <v>-857.656655570113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1001.75545050703</v>
          </cell>
          <cell r="J160">
            <v>1073.77992395613</v>
          </cell>
          <cell r="K160">
            <v>986.589397313581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-2.0274418746761499E-2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188.15185841262701</v>
          </cell>
          <cell r="J162">
            <v>156.467580213378</v>
          </cell>
          <cell r="K162">
            <v>4.67714387436882E-5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587.86944803340805</v>
          </cell>
          <cell r="J163">
            <v>195.21604894817099</v>
          </cell>
          <cell r="K163">
            <v>87.735311341749295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-8.7021597576200406E-3</v>
          </cell>
          <cell r="K164">
            <v>-2.98231720078155E-2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2240.4531352805998</v>
          </cell>
          <cell r="J165">
            <v>2460.2767266914402</v>
          </cell>
          <cell r="K165">
            <v>2552.9145442214499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19270.287054296299</v>
          </cell>
          <cell r="J166">
            <v>13970.9217243534</v>
          </cell>
          <cell r="K166">
            <v>-7.5039812569793594E-5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-0.137903798538207</v>
          </cell>
          <cell r="J167">
            <v>-0.206536824435609</v>
          </cell>
          <cell r="K167">
            <v>-0.47045138165130401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K168">
            <v>2141.6979769324084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K169">
            <v>2141.6979769324084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-61.199683659680872</v>
          </cell>
          <cell r="K170">
            <v>12.023952653013072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833.33163071371951</v>
          </cell>
          <cell r="K171">
            <v>3461.5395456377323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833.33163071371951</v>
          </cell>
          <cell r="K172">
            <v>3461.5395456377323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4101.0439592083076</v>
          </cell>
          <cell r="J173">
            <v>3571.7935448465519</v>
          </cell>
          <cell r="K173">
            <v>3138.0781428848913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2928.7486167900529</v>
          </cell>
          <cell r="J174">
            <v>1491.7081736076968</v>
          </cell>
          <cell r="K174">
            <v>570.3397663478421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3779.5591595224296</v>
          </cell>
          <cell r="J175">
            <v>1574.9893980705895</v>
          </cell>
          <cell r="K175">
            <v>161.31231081892028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2242.2072898160291</v>
          </cell>
          <cell r="J176">
            <v>2461.3685803196286</v>
          </cell>
          <cell r="K176">
            <v>2552.9447787785443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1725.6187454544631</v>
          </cell>
          <cell r="J177">
            <v>1000.1426372433523</v>
          </cell>
          <cell r="K177">
            <v>236.20316578175732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2242.2072898160291</v>
          </cell>
          <cell r="J178">
            <v>1176.1746193825188</v>
          </cell>
          <cell r="K178">
            <v>-2477.3102766637608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-2.027441874676153E-2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4101.0230706696066</v>
          </cell>
          <cell r="J180">
            <v>3251.1580747199755</v>
          </cell>
          <cell r="K180">
            <v>1509.4909832415956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21120.408131276923</v>
          </cell>
          <cell r="J181">
            <v>14527.335028190311</v>
          </cell>
          <cell r="K181">
            <v>5691.0385967710436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7.8540013383176E-5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K184">
            <v>2141.6979769323998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-1.1316042410838699E-6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2085.5365318520576</v>
          </cell>
          <cell r="J186">
            <v>2077.4411966117691</v>
          </cell>
          <cell r="K186">
            <v>2063.7517371667682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2085.5365318520576</v>
          </cell>
          <cell r="J187">
            <v>2077.4411966117691</v>
          </cell>
          <cell r="K187">
            <v>2063.7517371667682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655.77924622559397</v>
          </cell>
          <cell r="K188">
            <v>2536.2801397109201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761.06147498763301</v>
          </cell>
          <cell r="K189">
            <v>2568.05631203946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2535.9351219318501</v>
          </cell>
          <cell r="J191">
            <v>1964.7576750319499</v>
          </cell>
          <cell r="K191">
            <v>0.66775194938580296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J192">
            <v>6.20559560981562E-5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1944.97551381109</v>
          </cell>
          <cell r="J193">
            <v>1538.96533665993</v>
          </cell>
          <cell r="K193">
            <v>0.83099047196370202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2.3944982789517099E-3</v>
          </cell>
          <cell r="K194">
            <v>0.39780123608090101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1.1890702800932299E-2</v>
          </cell>
          <cell r="J195">
            <v>1.8847589025220799E-2</v>
          </cell>
          <cell r="K195">
            <v>8.3404845342716202E-4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0.89685054578776202</v>
          </cell>
          <cell r="J196">
            <v>0.72417492442820597</v>
          </cell>
          <cell r="K196">
            <v>1.7927229199174E-2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2.0369884632368E-3</v>
          </cell>
          <cell r="K197">
            <v>3.6209529372509102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0.81659813155369598</v>
          </cell>
          <cell r="J198">
            <v>0.33105713581175999</v>
          </cell>
          <cell r="K198">
            <v>1.12033258313215E-2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4482.6359751230802</v>
          </cell>
          <cell r="J199">
            <v>4921.6423060970601</v>
          </cell>
          <cell r="K199">
            <v>5109.8839129485395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104.508709311955</v>
          </cell>
          <cell r="J200">
            <v>18.329092918482601</v>
          </cell>
          <cell r="K200">
            <v>91.548185474735504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617.44566475798604</v>
          </cell>
          <cell r="J201">
            <v>303.60524836533699</v>
          </cell>
          <cell r="K201">
            <v>67.377502359503794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291.633133978525</v>
          </cell>
          <cell r="K202">
            <v>485.16492546450098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372.50515956263399</v>
          </cell>
          <cell r="J203">
            <v>223.00694086016699</v>
          </cell>
          <cell r="K203">
            <v>17.038626290331099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8.6029100295530707</v>
          </cell>
          <cell r="K204">
            <v>66.994254058746193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0.3439196542238</v>
          </cell>
          <cell r="J205">
            <v>0.45680884532957899</v>
          </cell>
          <cell r="K205">
            <v>8.0334556705369806E-2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0.43116265644329799</v>
          </cell>
          <cell r="J206">
            <v>4.6405620638919703E-2</v>
          </cell>
          <cell r="K206">
            <v>7.7028969847248705E-4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46.803436807338301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998.32918573166899</v>
          </cell>
          <cell r="J208">
            <v>780.47482623968904</v>
          </cell>
          <cell r="K208">
            <v>501.12048298708203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0.15669288173064699</v>
          </cell>
          <cell r="J209">
            <v>8.0679603777718698E-2</v>
          </cell>
          <cell r="K209">
            <v>4.6633098475637499E-2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3.4511435100612999</v>
          </cell>
          <cell r="J210">
            <v>1.70558503191158</v>
          </cell>
          <cell r="K210">
            <v>0.32183887773363301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0.53871746749185401</v>
          </cell>
          <cell r="J211">
            <v>3.7393165587664597E-2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2144.51379234153</v>
          </cell>
          <cell r="J212">
            <v>1627.9790246590001</v>
          </cell>
          <cell r="K212">
            <v>1229.69355345751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2.2898691466119999E-6</v>
          </cell>
          <cell r="J4">
            <v>2.4568355262798201E-6</v>
          </cell>
          <cell r="K4">
            <v>1.13141006324931E-4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3.7335295200932E-3</v>
          </cell>
          <cell r="K5">
            <v>6.34833833717352E-4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2.96126744341782E-5</v>
          </cell>
          <cell r="J6">
            <v>0.54149823371671502</v>
          </cell>
          <cell r="K6">
            <v>0.19137072878633099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4.8253072733732796E-6</v>
          </cell>
          <cell r="J7">
            <v>1.56524391927568</v>
          </cell>
          <cell r="K7">
            <v>0.54239526283924799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2.63264942467349E-6</v>
          </cell>
          <cell r="J8">
            <v>3.6643924722080201E-6</v>
          </cell>
          <cell r="K8">
            <v>6.0003742417267003E-6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1.67422030257076E-2</v>
          </cell>
          <cell r="K9">
            <v>4.27808544307788E-6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0.14630793005867099</v>
          </cell>
          <cell r="J10">
            <v>5.9110427490963201E-2</v>
          </cell>
          <cell r="K10">
            <v>0.17065473962499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2.1484215386974199E-6</v>
          </cell>
          <cell r="J11">
            <v>3.8381266823568496E-6</v>
          </cell>
          <cell r="K11">
            <v>5.8978212576800697E-4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1.8678683973225401E-2</v>
          </cell>
          <cell r="J12">
            <v>0.27234812536510999</v>
          </cell>
          <cell r="K12">
            <v>8.92803754712371E-2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I13">
            <v>6.4009717119110798E-2</v>
          </cell>
          <cell r="J13">
            <v>3.0066115535519598E-2</v>
          </cell>
          <cell r="K13">
            <v>5.2554961845572499E-7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I14">
            <v>0.43727340339138998</v>
          </cell>
          <cell r="J14">
            <v>7.7121136878089997E-7</v>
          </cell>
          <cell r="K14">
            <v>2.5578339094565499E-6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I15">
            <v>5.0674721383086596E-7</v>
          </cell>
          <cell r="J15">
            <v>5.9836447184995398E-7</v>
          </cell>
          <cell r="K15">
            <v>1.1104326115910101E-6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I16">
            <v>1.8025324034444E-4</v>
          </cell>
          <cell r="J16">
            <v>1.34468910922269</v>
          </cell>
          <cell r="K16">
            <v>7.8134913913243995E-2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I17">
            <v>8.1595846978231403E-6</v>
          </cell>
          <cell r="J17">
            <v>9.5683823137193702E-2</v>
          </cell>
          <cell r="K17">
            <v>4.7337433907013502E-6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I18">
            <v>5.3937983598148205E-4</v>
          </cell>
          <cell r="J18">
            <v>3.7244990434404301</v>
          </cell>
          <cell r="K18">
            <v>5.4818451336299199E-7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I19">
            <v>1.0160379645323699E-6</v>
          </cell>
          <cell r="J19">
            <v>9.9716470609830393E-7</v>
          </cell>
          <cell r="K19">
            <v>2.2656515690073702E-6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I20">
            <v>1.2987578961185799E-5</v>
          </cell>
          <cell r="J20">
            <v>0.149382558107651</v>
          </cell>
          <cell r="K20">
            <v>9.4237206656228298E-2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I21">
            <v>2.98799426262555E-7</v>
          </cell>
          <cell r="J21">
            <v>3.6933992438233298E-7</v>
          </cell>
          <cell r="K21">
            <v>6.4330643493470095E-7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I22">
            <v>3.0698339171935E-5</v>
          </cell>
          <cell r="J22">
            <v>0.24225252514406401</v>
          </cell>
          <cell r="K22">
            <v>4.05040502306583E-5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3.7777419655550602E-3</v>
          </cell>
          <cell r="K23">
            <v>3.4781331078232499E-3</v>
          </cell>
        </row>
        <row r="24">
          <cell r="A24" t="str">
            <v>-</v>
          </cell>
          <cell r="B24" t="str">
            <v>VAR_ncap</v>
          </cell>
          <cell r="C24" t="str">
            <v>SUP_NGAH2CCS</v>
          </cell>
          <cell r="J24">
            <v>7.5072634715272495E-7</v>
          </cell>
          <cell r="K24">
            <v>7.8789481662142795E-5</v>
          </cell>
        </row>
        <row r="25">
          <cell r="A25" t="str">
            <v>-</v>
          </cell>
          <cell r="B25" t="str">
            <v>VAR_ncap</v>
          </cell>
          <cell r="C25" t="str">
            <v>SUP_ELCH2</v>
          </cell>
          <cell r="I25">
            <v>0.27607212479431098</v>
          </cell>
          <cell r="J25">
            <v>1.93094793888492</v>
          </cell>
          <cell r="K25">
            <v>0.92369956925530805</v>
          </cell>
        </row>
        <row r="26">
          <cell r="A26" t="str">
            <v>-</v>
          </cell>
          <cell r="B26" t="str">
            <v>VAR_ncap</v>
          </cell>
          <cell r="C26" t="str">
            <v>CT_CWODBDS</v>
          </cell>
          <cell r="I26">
            <v>3.9043516500587897E-5</v>
          </cell>
          <cell r="J26">
            <v>2.60436812641144E-4</v>
          </cell>
          <cell r="K26">
            <v>8.4328018988506694E-3</v>
          </cell>
        </row>
        <row r="27">
          <cell r="A27" t="str">
            <v>-</v>
          </cell>
          <cell r="B27" t="str">
            <v>VAR_ncap</v>
          </cell>
          <cell r="C27" t="str">
            <v>CT_CWODPLT</v>
          </cell>
          <cell r="I27">
            <v>1.23365856163247E-5</v>
          </cell>
          <cell r="J27">
            <v>8.3367439627047402E-2</v>
          </cell>
          <cell r="K27">
            <v>4.8529485120534101E-2</v>
          </cell>
        </row>
        <row r="28">
          <cell r="A28" t="str">
            <v>-</v>
          </cell>
          <cell r="B28" t="str">
            <v>VAR_ncap</v>
          </cell>
          <cell r="C28" t="str">
            <v>D-DH2</v>
          </cell>
          <cell r="I28">
            <v>1.74508024841001E-4</v>
          </cell>
          <cell r="J28">
            <v>1.3312145041604899</v>
          </cell>
          <cell r="K28">
            <v>7.7300473766599306E-2</v>
          </cell>
        </row>
        <row r="29">
          <cell r="A29" t="str">
            <v>-</v>
          </cell>
          <cell r="B29" t="str">
            <v>VAR_ncap</v>
          </cell>
          <cell r="C29" t="str">
            <v>CT_CWODETH</v>
          </cell>
          <cell r="I29">
            <v>7.83099834881909E-7</v>
          </cell>
          <cell r="J29">
            <v>1.4607170227695701E-6</v>
          </cell>
          <cell r="K29">
            <v>5.3937959761623897E-5</v>
          </cell>
        </row>
        <row r="30">
          <cell r="A30" t="str">
            <v>-</v>
          </cell>
          <cell r="B30" t="str">
            <v>VAR_ncap</v>
          </cell>
          <cell r="C30" t="str">
            <v>D-INGA</v>
          </cell>
          <cell r="I30">
            <v>6.3389896674529497E-6</v>
          </cell>
          <cell r="J30">
            <v>4.7821480988351704E-6</v>
          </cell>
          <cell r="K30">
            <v>1.03088712078142E-5</v>
          </cell>
        </row>
        <row r="31">
          <cell r="A31" t="str">
            <v>-</v>
          </cell>
          <cell r="B31" t="str">
            <v>VAR_ncap</v>
          </cell>
          <cell r="C31" t="str">
            <v>SUP_H2DSL</v>
          </cell>
          <cell r="I31">
            <v>7.2154343703520103E-6</v>
          </cell>
          <cell r="J31">
            <v>1.20061736815191E-3</v>
          </cell>
          <cell r="K31">
            <v>0.175781252899121</v>
          </cell>
        </row>
        <row r="32">
          <cell r="A32" t="str">
            <v>-</v>
          </cell>
          <cell r="B32" t="str">
            <v>VAR_ncap</v>
          </cell>
          <cell r="C32" t="str">
            <v>SUP_DAC</v>
          </cell>
          <cell r="J32">
            <v>2.9062101266544601E-3</v>
          </cell>
          <cell r="K32">
            <v>3.2280833029297001E-3</v>
          </cell>
        </row>
        <row r="33">
          <cell r="A33" t="str">
            <v>-</v>
          </cell>
          <cell r="B33" t="str">
            <v>VAR_cap</v>
          </cell>
          <cell r="C33" t="str">
            <v>SUP_NGAH2</v>
          </cell>
          <cell r="I33">
            <v>2.1788546400190059E-6</v>
          </cell>
          <cell r="J33">
            <v>2.6623839491483E-6</v>
          </cell>
          <cell r="K33">
            <v>1.1626281825860824E-4</v>
          </cell>
        </row>
        <row r="34">
          <cell r="A34" t="str">
            <v>-</v>
          </cell>
          <cell r="B34" t="str">
            <v>VAR_cap</v>
          </cell>
          <cell r="C34" t="str">
            <v>SUP_WSTHTGBIO</v>
          </cell>
          <cell r="J34">
            <v>3.7335295200932E-3</v>
          </cell>
          <cell r="K34">
            <v>4.3682425446429666E-3</v>
          </cell>
        </row>
        <row r="35">
          <cell r="A35" t="str">
            <v>-</v>
          </cell>
          <cell r="B35" t="str">
            <v>VAR_cap</v>
          </cell>
          <cell r="C35" t="str">
            <v>STG-H2</v>
          </cell>
          <cell r="I35">
            <v>3.4147284508505788E-5</v>
          </cell>
          <cell r="J35">
            <v>0.54153172714567799</v>
          </cell>
          <cell r="K35">
            <v>0.73289259448012789</v>
          </cell>
        </row>
        <row r="36">
          <cell r="A36" t="str">
            <v>-</v>
          </cell>
          <cell r="B36" t="str">
            <v>VAR_cap</v>
          </cell>
          <cell r="C36" t="str">
            <v>SUP_H2NGA</v>
          </cell>
          <cell r="I36">
            <v>4.6313335149503306E-6</v>
          </cell>
          <cell r="J36">
            <v>1.565248180308646</v>
          </cell>
          <cell r="K36">
            <v>2.1076408394286017</v>
          </cell>
        </row>
        <row r="37">
          <cell r="A37" t="str">
            <v>-</v>
          </cell>
          <cell r="B37" t="str">
            <v>VAR_cap</v>
          </cell>
          <cell r="C37" t="str">
            <v>D-ENGA</v>
          </cell>
          <cell r="I37">
            <v>1.0275223608327975</v>
          </cell>
          <cell r="J37">
            <v>1.0275260252252696</v>
          </cell>
          <cell r="K37">
            <v>0.72469671237329136</v>
          </cell>
        </row>
        <row r="38">
          <cell r="A38" t="str">
            <v>-</v>
          </cell>
          <cell r="B38" t="str">
            <v>VAR_cap</v>
          </cell>
          <cell r="C38" t="str">
            <v>D-CHEAT</v>
          </cell>
          <cell r="J38">
            <v>1.67422030257076E-2</v>
          </cell>
          <cell r="K38">
            <v>1.67464811111507E-2</v>
          </cell>
        </row>
        <row r="39">
          <cell r="A39" t="str">
            <v>-</v>
          </cell>
          <cell r="B39" t="str">
            <v>VAR_cap</v>
          </cell>
          <cell r="C39" t="str">
            <v>SUP_WSTBIO</v>
          </cell>
          <cell r="I39">
            <v>0.29046193966053652</v>
          </cell>
          <cell r="J39">
            <v>0.31763700735615652</v>
          </cell>
          <cell r="K39">
            <v>0.37191160559073821</v>
          </cell>
        </row>
        <row r="40">
          <cell r="A40" t="str">
            <v>-</v>
          </cell>
          <cell r="B40" t="str">
            <v>VAR_cap</v>
          </cell>
          <cell r="C40" t="str">
            <v>D-CNGA</v>
          </cell>
          <cell r="I40">
            <v>5.6579713864738396E-6</v>
          </cell>
          <cell r="J40">
            <v>9.4960980688306901E-6</v>
          </cell>
          <cell r="K40">
            <v>5.9927822383683803E-4</v>
          </cell>
        </row>
        <row r="41">
          <cell r="A41" t="str">
            <v>-</v>
          </cell>
          <cell r="B41" t="str">
            <v>VAR_cap</v>
          </cell>
          <cell r="C41" t="str">
            <v>SUP_BIONGA</v>
          </cell>
          <cell r="I41">
            <v>0.12835070395929651</v>
          </cell>
          <cell r="J41">
            <v>0.34436079398741404</v>
          </cell>
          <cell r="K41">
            <v>0.37716160200284599</v>
          </cell>
        </row>
        <row r="42">
          <cell r="A42" t="str">
            <v>-</v>
          </cell>
          <cell r="B42" t="str">
            <v>VAR_cap</v>
          </cell>
          <cell r="C42" t="str">
            <v>SUP_WODH2</v>
          </cell>
          <cell r="I42">
            <v>6.4098643433720223E-2</v>
          </cell>
          <cell r="J42">
            <v>9.4164430842285943E-2</v>
          </cell>
          <cell r="K42">
            <v>9.4132592117370406E-2</v>
          </cell>
        </row>
        <row r="43">
          <cell r="A43" t="str">
            <v>-</v>
          </cell>
          <cell r="B43" t="str">
            <v>VAR_cap</v>
          </cell>
          <cell r="C43" t="str">
            <v>ESOL-PV_A</v>
          </cell>
          <cell r="I43">
            <v>0.196603969624908</v>
          </cell>
          <cell r="J43">
            <v>0.556426787549818</v>
          </cell>
          <cell r="K43">
            <v>0.63387945699085302</v>
          </cell>
        </row>
        <row r="44">
          <cell r="A44" t="str">
            <v>-</v>
          </cell>
          <cell r="B44" t="str">
            <v>VAR_cap</v>
          </cell>
          <cell r="C44" t="str">
            <v>D-TNGA</v>
          </cell>
          <cell r="I44">
            <v>0.95961990014599363</v>
          </cell>
          <cell r="J44">
            <v>0.95962049851046549</v>
          </cell>
          <cell r="K44">
            <v>0.48125726529702106</v>
          </cell>
        </row>
        <row r="45">
          <cell r="A45" t="str">
            <v>-</v>
          </cell>
          <cell r="B45" t="str">
            <v>VAR_cap</v>
          </cell>
          <cell r="C45" t="str">
            <v>SUP_ELCH2_D</v>
          </cell>
          <cell r="I45">
            <v>1.9421779939205101E-4</v>
          </cell>
          <cell r="J45">
            <v>1.3448833270220799</v>
          </cell>
          <cell r="K45">
            <v>1.4229712910730401</v>
          </cell>
        </row>
        <row r="46">
          <cell r="A46" t="str">
            <v>-</v>
          </cell>
          <cell r="B46" t="str">
            <v>VAR_cap</v>
          </cell>
          <cell r="C46" t="str">
            <v>SUP_H2GSL</v>
          </cell>
          <cell r="I46">
            <v>9.5195812224741497E-6</v>
          </cell>
          <cell r="J46">
            <v>9.5693180153095622E-2</v>
          </cell>
          <cell r="K46">
            <v>9.5690876587171167E-2</v>
          </cell>
        </row>
        <row r="47">
          <cell r="A47" t="str">
            <v>-</v>
          </cell>
          <cell r="B47" t="str">
            <v>VAR_cap</v>
          </cell>
          <cell r="C47" t="str">
            <v>ESOL-PV_E</v>
          </cell>
          <cell r="I47">
            <v>5.4393212691694604E-4</v>
          </cell>
          <cell r="J47">
            <v>3.7250429755673502</v>
          </cell>
          <cell r="K47">
            <v>3.72504352375186</v>
          </cell>
        </row>
        <row r="48">
          <cell r="A48" t="str">
            <v>-</v>
          </cell>
          <cell r="B48" t="str">
            <v>VAR_cap</v>
          </cell>
          <cell r="C48" t="str">
            <v>D-SNGA</v>
          </cell>
          <cell r="I48">
            <v>2.2350568268643229</v>
          </cell>
          <cell r="J48">
            <v>2.2350578240290293</v>
          </cell>
          <cell r="K48">
            <v>1.1208983905443182</v>
          </cell>
        </row>
        <row r="49">
          <cell r="A49" t="str">
            <v>-</v>
          </cell>
          <cell r="B49" t="str">
            <v>VAR_cap</v>
          </cell>
          <cell r="C49" t="str">
            <v>SUP_MNRBIO</v>
          </cell>
          <cell r="I49">
            <v>0.16241195786957704</v>
          </cell>
          <cell r="J49">
            <v>0.22482107945426397</v>
          </cell>
          <cell r="K49">
            <v>0.24362847239898058</v>
          </cell>
        </row>
        <row r="50">
          <cell r="A50" t="str">
            <v>-</v>
          </cell>
          <cell r="B50" t="str">
            <v>VAR_cap</v>
          </cell>
          <cell r="C50" t="str">
            <v>D-RNGA</v>
          </cell>
          <cell r="I50">
            <v>3.0972415857825739</v>
          </cell>
          <cell r="J50">
            <v>3.0972419551224983</v>
          </cell>
          <cell r="K50">
            <v>1.5532848390692333</v>
          </cell>
        </row>
        <row r="51">
          <cell r="A51" t="str">
            <v>-</v>
          </cell>
          <cell r="B51" t="str">
            <v>VAR_cap</v>
          </cell>
          <cell r="C51" t="str">
            <v>SUP_WODBIO</v>
          </cell>
          <cell r="I51">
            <v>9.4594512484921128E-5</v>
          </cell>
          <cell r="J51">
            <v>0.24231687092297424</v>
          </cell>
          <cell r="K51">
            <v>0.24231715560929667</v>
          </cell>
        </row>
        <row r="52">
          <cell r="A52" t="str">
            <v>-</v>
          </cell>
          <cell r="B52" t="str">
            <v>VAR_cap</v>
          </cell>
          <cell r="C52" t="str">
            <v>SUP_ELCH2_SOEC</v>
          </cell>
          <cell r="J52">
            <v>3.7777419655550602E-3</v>
          </cell>
          <cell r="K52">
            <v>4.7717568969540781E-3</v>
          </cell>
        </row>
        <row r="53">
          <cell r="A53" t="str">
            <v>-</v>
          </cell>
          <cell r="B53" t="str">
            <v>VAR_cap</v>
          </cell>
          <cell r="C53" t="str">
            <v>SUP_NGAH2CCS</v>
          </cell>
          <cell r="J53">
            <v>7.5072634715272495E-7</v>
          </cell>
          <cell r="K53">
            <v>7.9275967663532503E-5</v>
          </cell>
        </row>
        <row r="54">
          <cell r="A54" t="str">
            <v>-</v>
          </cell>
          <cell r="B54" t="str">
            <v>VAR_cap</v>
          </cell>
          <cell r="C54" t="str">
            <v>SUP_ELCH2</v>
          </cell>
          <cell r="I54">
            <v>0.27703638633920658</v>
          </cell>
          <cell r="J54">
            <v>2.2076486697030697</v>
          </cell>
          <cell r="K54">
            <v>3.0747471607432946</v>
          </cell>
        </row>
        <row r="55">
          <cell r="A55" t="str">
            <v>-</v>
          </cell>
          <cell r="B55" t="str">
            <v>VAR_cap</v>
          </cell>
          <cell r="C55" t="str">
            <v>CT_CWODBDS</v>
          </cell>
          <cell r="I55">
            <v>7.2271733899462523E-5</v>
          </cell>
          <cell r="J55">
            <v>3.0588746643234627E-4</v>
          </cell>
          <cell r="K55">
            <v>8.7238523227549675E-3</v>
          </cell>
        </row>
        <row r="56">
          <cell r="A56" t="str">
            <v>-</v>
          </cell>
          <cell r="B56" t="str">
            <v>VAR_cap</v>
          </cell>
          <cell r="C56" t="str">
            <v>CT_CWODPLT</v>
          </cell>
          <cell r="I56">
            <v>0.11888119565707261</v>
          </cell>
          <cell r="J56">
            <v>0.13398068411026931</v>
          </cell>
          <cell r="K56">
            <v>0.13190467308656492</v>
          </cell>
        </row>
        <row r="57">
          <cell r="A57" t="str">
            <v>-</v>
          </cell>
          <cell r="B57" t="str">
            <v>VAR_cap</v>
          </cell>
          <cell r="C57" t="str">
            <v>D-DH2</v>
          </cell>
          <cell r="I57">
            <v>2.5215596783276798E-4</v>
          </cell>
          <cell r="J57">
            <v>1.33146666012833</v>
          </cell>
          <cell r="K57">
            <v>1.4087671338949199</v>
          </cell>
        </row>
        <row r="58">
          <cell r="A58" t="str">
            <v>-</v>
          </cell>
          <cell r="B58" t="str">
            <v>VAR_cap</v>
          </cell>
          <cell r="C58" t="str">
            <v>CT_CWODETH</v>
          </cell>
          <cell r="I58">
            <v>1.0497137338729562E-4</v>
          </cell>
          <cell r="J58">
            <v>8.8461759166002379E-5</v>
          </cell>
          <cell r="K58">
            <v>5.5648594154750424E-5</v>
          </cell>
        </row>
        <row r="59">
          <cell r="A59" t="str">
            <v>-</v>
          </cell>
          <cell r="B59" t="str">
            <v>VAR_cap</v>
          </cell>
          <cell r="C59" t="str">
            <v>D-INGA</v>
          </cell>
          <cell r="I59">
            <v>1.9844957629659306</v>
          </cell>
          <cell r="J59">
            <v>1.9845005451140294</v>
          </cell>
          <cell r="K59">
            <v>1.0954869211650571</v>
          </cell>
        </row>
        <row r="60">
          <cell r="A60" t="str">
            <v>-</v>
          </cell>
          <cell r="B60" t="str">
            <v>VAR_cap</v>
          </cell>
          <cell r="C60" t="str">
            <v>SUP_H2DSL</v>
          </cell>
          <cell r="I60">
            <v>8.235717534694479E-6</v>
          </cell>
          <cell r="J60">
            <v>1.2085531851998596E-3</v>
          </cell>
          <cell r="K60">
            <v>0.1769838748527357</v>
          </cell>
        </row>
        <row r="61">
          <cell r="A61" t="str">
            <v>-</v>
          </cell>
          <cell r="B61" t="str">
            <v>VAR_cap</v>
          </cell>
          <cell r="C61" t="str">
            <v>SUP_DAC</v>
          </cell>
          <cell r="J61">
            <v>2.9062101266544601E-3</v>
          </cell>
          <cell r="K61">
            <v>5.3193349332129559E-3</v>
          </cell>
        </row>
        <row r="62">
          <cell r="A62" t="str">
            <v>CO2_M</v>
          </cell>
          <cell r="B62" t="str">
            <v>VAR_fin</v>
          </cell>
          <cell r="C62" t="str">
            <v>SUP_H2NGA</v>
          </cell>
          <cell r="J62">
            <v>720.88718455884873</v>
          </cell>
          <cell r="K62">
            <v>894.33943413287739</v>
          </cell>
        </row>
        <row r="63">
          <cell r="A63" t="str">
            <v>CO2_M</v>
          </cell>
          <cell r="B63" t="str">
            <v>VAR_fin</v>
          </cell>
          <cell r="C63" t="str">
            <v>SUP_H2GSL</v>
          </cell>
          <cell r="J63">
            <v>51.222879265905341</v>
          </cell>
          <cell r="K63">
            <v>54.787334374624649</v>
          </cell>
        </row>
        <row r="64">
          <cell r="A64" t="str">
            <v>CO2_M</v>
          </cell>
          <cell r="B64" t="str">
            <v>VAR_fin</v>
          </cell>
          <cell r="C64" t="str">
            <v>SUP_H2DSL</v>
          </cell>
          <cell r="J64">
            <v>0.30755571932392284</v>
          </cell>
          <cell r="K64">
            <v>106.45145592446698</v>
          </cell>
        </row>
        <row r="65">
          <cell r="A65" t="str">
            <v>ELC35</v>
          </cell>
          <cell r="B65" t="str">
            <v>VAR_fout</v>
          </cell>
          <cell r="C65" t="str">
            <v>SUP_WSTBIO</v>
          </cell>
          <cell r="I65">
            <v>0.15377354528536932</v>
          </cell>
          <cell r="J65">
            <v>0.16816097814652631</v>
          </cell>
          <cell r="K65">
            <v>0.1968949313500912</v>
          </cell>
        </row>
        <row r="66">
          <cell r="A66" t="str">
            <v>ELC35</v>
          </cell>
          <cell r="B66" t="str">
            <v>VAR_fout</v>
          </cell>
          <cell r="C66" t="str">
            <v>ESOL-PV_A</v>
          </cell>
          <cell r="I66">
            <v>1.2719962140785561</v>
          </cell>
          <cell r="J66">
            <v>3.5999982000138577</v>
          </cell>
          <cell r="K66">
            <v>4.1010591275894397</v>
          </cell>
        </row>
        <row r="67">
          <cell r="A67" t="str">
            <v>ELC35</v>
          </cell>
          <cell r="B67" t="str">
            <v>VAR_fout</v>
          </cell>
          <cell r="C67" t="str">
            <v>SUP_WODBIO</v>
          </cell>
          <cell r="I67">
            <v>3.4929136469720606E-5</v>
          </cell>
          <cell r="J67">
            <v>0.24064534864914194</v>
          </cell>
          <cell r="K67">
            <v>0.2406462361343788</v>
          </cell>
        </row>
        <row r="68">
          <cell r="A68" t="str">
            <v>ELC35</v>
          </cell>
          <cell r="B68" t="str">
            <v>VAR_fin</v>
          </cell>
          <cell r="C68" t="str">
            <v>D-CELC</v>
          </cell>
          <cell r="I68">
            <v>9.8689348431036112</v>
          </cell>
          <cell r="J68">
            <v>21.407955500741345</v>
          </cell>
          <cell r="K68">
            <v>28.278373596624128</v>
          </cell>
        </row>
        <row r="69">
          <cell r="A69" t="str">
            <v>CO2_O</v>
          </cell>
          <cell r="B69" t="str">
            <v>VAR_fout</v>
          </cell>
          <cell r="C69" t="str">
            <v>SUP_NGAH2CCS</v>
          </cell>
          <cell r="K69">
            <v>2.027441874676153E-2</v>
          </cell>
        </row>
        <row r="70">
          <cell r="A70" t="str">
            <v>CO2_O</v>
          </cell>
          <cell r="B70" t="str">
            <v>VAR_fout</v>
          </cell>
          <cell r="C70" t="str">
            <v>SUP_DAC</v>
          </cell>
          <cell r="J70">
            <v>8.7021597576200389E-3</v>
          </cell>
          <cell r="K70">
            <v>2.9823172007815504E-2</v>
          </cell>
        </row>
        <row r="71">
          <cell r="A71" t="str">
            <v>SCH2S</v>
          </cell>
          <cell r="B71" t="str">
            <v>VAR_fin</v>
          </cell>
          <cell r="C71" t="str">
            <v>SUP_NGAH2</v>
          </cell>
          <cell r="K71">
            <v>2.2920524171772267E-4</v>
          </cell>
        </row>
        <row r="72">
          <cell r="A72" t="str">
            <v>SCH2S</v>
          </cell>
          <cell r="B72" t="str">
            <v>VAR_fin</v>
          </cell>
          <cell r="C72" t="str">
            <v>SUP_WODH2</v>
          </cell>
          <cell r="I72">
            <v>1.4923745943551816</v>
          </cell>
          <cell r="J72">
            <v>1.5725063014673428</v>
          </cell>
          <cell r="K72">
            <v>1.5427422486026849</v>
          </cell>
        </row>
        <row r="73">
          <cell r="A73" t="str">
            <v>SCH2S</v>
          </cell>
          <cell r="B73" t="str">
            <v>VAR_fin</v>
          </cell>
          <cell r="C73" t="str">
            <v>SUP_NGAH2CCS</v>
          </cell>
          <cell r="K73">
            <v>2.7869449627989198E-4</v>
          </cell>
        </row>
        <row r="74">
          <cell r="A74" t="str">
            <v>CWST</v>
          </cell>
          <cell r="B74" t="str">
            <v>VAR_fout</v>
          </cell>
          <cell r="C74" t="str">
            <v>D-CWST</v>
          </cell>
          <cell r="I74">
            <v>13.220131364676449</v>
          </cell>
          <cell r="J74">
            <v>14.601625819624754</v>
          </cell>
          <cell r="K74">
            <v>17.096526142350701</v>
          </cell>
        </row>
        <row r="75">
          <cell r="A75" t="str">
            <v>CWST</v>
          </cell>
          <cell r="B75" t="str">
            <v>VAR_fin</v>
          </cell>
          <cell r="C75" t="str">
            <v>SUP_WSTHTGBIO</v>
          </cell>
          <cell r="J75">
            <v>0.14463985242207125</v>
          </cell>
          <cell r="K75">
            <v>0.16928952741934009</v>
          </cell>
        </row>
        <row r="76">
          <cell r="A76" t="str">
            <v>CWST</v>
          </cell>
          <cell r="B76" t="str">
            <v>VAR_fin</v>
          </cell>
          <cell r="C76" t="str">
            <v>SUP_WSTBIO</v>
          </cell>
          <cell r="I76">
            <v>13.220131364676449</v>
          </cell>
          <cell r="J76">
            <v>14.457039521225639</v>
          </cell>
          <cell r="K76">
            <v>16.927338526640682</v>
          </cell>
        </row>
        <row r="77">
          <cell r="A77" t="str">
            <v>NGA</v>
          </cell>
          <cell r="B77" t="str">
            <v>VAR_fout</v>
          </cell>
          <cell r="C77" t="str">
            <v>SUP_H2NGA</v>
          </cell>
          <cell r="J77">
            <v>12.781687669483125</v>
          </cell>
          <cell r="K77">
            <v>15.857082165476539</v>
          </cell>
        </row>
        <row r="78">
          <cell r="A78" t="str">
            <v>NGA</v>
          </cell>
          <cell r="B78" t="str">
            <v>VAR_fout</v>
          </cell>
          <cell r="C78" t="str">
            <v>D-LNGA</v>
          </cell>
          <cell r="I78">
            <v>5.5110513411460024E-3</v>
          </cell>
          <cell r="J78">
            <v>4.1657299810063187E-3</v>
          </cell>
          <cell r="K78">
            <v>1.092532376572196E-5</v>
          </cell>
        </row>
        <row r="79">
          <cell r="A79" t="str">
            <v>NGA</v>
          </cell>
          <cell r="B79" t="str">
            <v>VAR_fin</v>
          </cell>
          <cell r="C79" t="str">
            <v>D-ENGA</v>
          </cell>
        </row>
        <row r="80">
          <cell r="A80" t="str">
            <v>NGA</v>
          </cell>
          <cell r="B80" t="str">
            <v>VAR_fin</v>
          </cell>
          <cell r="C80" t="str">
            <v>D-TNGA</v>
          </cell>
          <cell r="I80">
            <v>6.4059927321494264E-2</v>
          </cell>
          <cell r="J80">
            <v>2.105652093798567E-2</v>
          </cell>
          <cell r="K80">
            <v>1.3035731989221443E-3</v>
          </cell>
        </row>
        <row r="81">
          <cell r="A81" t="str">
            <v>NGA</v>
          </cell>
          <cell r="B81" t="str">
            <v>VAR_fin</v>
          </cell>
          <cell r="C81" t="str">
            <v>D-SNGA</v>
          </cell>
          <cell r="I81">
            <v>14.947561686462773</v>
          </cell>
          <cell r="J81">
            <v>8.7143837028313254</v>
          </cell>
          <cell r="K81">
            <v>4.1879819178865469</v>
          </cell>
        </row>
        <row r="82">
          <cell r="A82" t="str">
            <v>NGA</v>
          </cell>
          <cell r="B82" t="str">
            <v>VAR_fin</v>
          </cell>
          <cell r="C82" t="str">
            <v>D-RNGA</v>
          </cell>
          <cell r="I82">
            <v>30.452261871965931</v>
          </cell>
          <cell r="J82">
            <v>17.323950749029255</v>
          </cell>
          <cell r="K82">
            <v>10.112385050852522</v>
          </cell>
        </row>
        <row r="83">
          <cell r="A83" t="str">
            <v>NGA</v>
          </cell>
          <cell r="B83" t="str">
            <v>VAR_fin</v>
          </cell>
          <cell r="C83" t="str">
            <v>D-INGA</v>
          </cell>
          <cell r="I83">
            <v>10.423217163712916</v>
          </cell>
          <cell r="J83">
            <v>3.4612774636200458</v>
          </cell>
          <cell r="K83">
            <v>1.5555906266267603</v>
          </cell>
        </row>
        <row r="84">
          <cell r="A84" t="str">
            <v>CO2</v>
          </cell>
          <cell r="B84" t="str">
            <v>VAR_fout</v>
          </cell>
          <cell r="C84" t="str">
            <v>D-ENGA</v>
          </cell>
        </row>
        <row r="85">
          <cell r="A85" t="str">
            <v>CO2</v>
          </cell>
          <cell r="B85" t="str">
            <v>VAR_fout</v>
          </cell>
          <cell r="C85" t="str">
            <v>D-ILFO</v>
          </cell>
          <cell r="I85">
            <v>424.90349866626099</v>
          </cell>
          <cell r="J85">
            <v>225.271941427619</v>
          </cell>
          <cell r="K85">
            <v>9.2185163971936896E-4</v>
          </cell>
        </row>
        <row r="86">
          <cell r="A86" t="str">
            <v>CO2</v>
          </cell>
          <cell r="B86" t="str">
            <v>VAR_fout</v>
          </cell>
          <cell r="C86" t="str">
            <v>D-TNGA</v>
          </cell>
          <cell r="I86">
            <v>3.6129799009322801</v>
          </cell>
          <cell r="J86">
            <v>1.18758778090239</v>
          </cell>
          <cell r="K86">
            <v>7.3521528419208906E-2</v>
          </cell>
        </row>
        <row r="87">
          <cell r="A87" t="str">
            <v>CO2</v>
          </cell>
          <cell r="B87" t="str">
            <v>VAR_fout</v>
          </cell>
          <cell r="C87" t="str">
            <v>D-SNGA</v>
          </cell>
          <cell r="I87">
            <v>843.04247911649998</v>
          </cell>
          <cell r="J87">
            <v>491.49124083968701</v>
          </cell>
          <cell r="K87">
            <v>236.20218016880099</v>
          </cell>
        </row>
        <row r="88">
          <cell r="A88" t="str">
            <v>CO2</v>
          </cell>
          <cell r="B88" t="str">
            <v>VAR_fout</v>
          </cell>
          <cell r="C88" t="str">
            <v>D-RNGA</v>
          </cell>
          <cell r="I88">
            <v>1717.5075695788801</v>
          </cell>
          <cell r="J88">
            <v>977.07082224525004</v>
          </cell>
          <cell r="K88">
            <v>570.33851686808202</v>
          </cell>
        </row>
        <row r="89">
          <cell r="A89" t="str">
            <v>CO2</v>
          </cell>
          <cell r="B89" t="str">
            <v>VAR_fout</v>
          </cell>
          <cell r="C89" t="str">
            <v>D-SLFO</v>
          </cell>
          <cell r="I89">
            <v>882.57626633796201</v>
          </cell>
          <cell r="J89">
            <v>508.65139640366499</v>
          </cell>
          <cell r="K89">
            <v>9.856129558590439E-4</v>
          </cell>
        </row>
        <row r="90">
          <cell r="A90" t="str">
            <v>CO2</v>
          </cell>
          <cell r="B90" t="str">
            <v>VAR_fout</v>
          </cell>
          <cell r="C90" t="str">
            <v>D-RLFO</v>
          </cell>
          <cell r="I90">
            <v>1211.2410472111701</v>
          </cell>
          <cell r="J90">
            <v>514.63735136244702</v>
          </cell>
          <cell r="K90">
            <v>1.2494797604871101E-3</v>
          </cell>
        </row>
        <row r="91">
          <cell r="A91" t="str">
            <v>CO2</v>
          </cell>
          <cell r="B91" t="str">
            <v>VAR_fout</v>
          </cell>
          <cell r="C91" t="str">
            <v>D-TGSL</v>
          </cell>
          <cell r="I91">
            <v>1246.62124283803</v>
          </cell>
          <cell r="J91">
            <v>252.974818582729</v>
          </cell>
          <cell r="K91">
            <v>54.787334374624699</v>
          </cell>
        </row>
        <row r="92">
          <cell r="A92" t="str">
            <v>CO2</v>
          </cell>
          <cell r="B92" t="str">
            <v>VAR_fout</v>
          </cell>
          <cell r="C92" t="str">
            <v>SUP_NGAH2CCS</v>
          </cell>
          <cell r="K92">
            <v>-2.0274418746761499E-2</v>
          </cell>
        </row>
        <row r="93">
          <cell r="A93" t="str">
            <v>CO2</v>
          </cell>
          <cell r="B93" t="str">
            <v>VAR_fout</v>
          </cell>
          <cell r="C93" t="str">
            <v>D-INGA</v>
          </cell>
          <cell r="I93">
            <v>587.86944803340805</v>
          </cell>
          <cell r="J93">
            <v>195.21604894817099</v>
          </cell>
          <cell r="K93">
            <v>87.735311341749295</v>
          </cell>
        </row>
        <row r="94">
          <cell r="A94" t="str">
            <v>CO2</v>
          </cell>
          <cell r="B94" t="str">
            <v>VAR_fout</v>
          </cell>
          <cell r="C94" t="str">
            <v>SUP_DAC</v>
          </cell>
          <cell r="J94">
            <v>-8.7021597576200406E-3</v>
          </cell>
          <cell r="K94">
            <v>-2.98231720078155E-2</v>
          </cell>
        </row>
        <row r="95">
          <cell r="A95" t="str">
            <v>ENGA</v>
          </cell>
          <cell r="B95" t="str">
            <v>VAR_fout</v>
          </cell>
          <cell r="C95" t="str">
            <v>D-ENGA</v>
          </cell>
          <cell r="J95">
            <v>7.4217428911196393E-5</v>
          </cell>
          <cell r="K95">
            <v>7.125450661935824E-2</v>
          </cell>
        </row>
        <row r="96">
          <cell r="A96" t="str">
            <v>ILFO</v>
          </cell>
          <cell r="B96" t="str">
            <v>VAR_fout</v>
          </cell>
          <cell r="C96" t="str">
            <v>D-ILFO</v>
          </cell>
          <cell r="I96">
            <v>5.6893548646473473</v>
          </cell>
          <cell r="J96">
            <v>3.0258743671664461</v>
          </cell>
          <cell r="K96">
            <v>0.23118895916324356</v>
          </cell>
        </row>
        <row r="97">
          <cell r="A97" t="str">
            <v>CHEAT</v>
          </cell>
          <cell r="B97" t="str">
            <v>VAR_fout</v>
          </cell>
          <cell r="C97" t="str">
            <v>D-CHEAT</v>
          </cell>
          <cell r="J97">
            <v>1.252730669451165E-2</v>
          </cell>
          <cell r="K97">
            <v>8.9203083764229675E-3</v>
          </cell>
        </row>
        <row r="98">
          <cell r="A98" t="str">
            <v>CHEAT</v>
          </cell>
          <cell r="B98" t="str">
            <v>VAR_fin</v>
          </cell>
          <cell r="C98" t="str">
            <v>SUP_ELCH2_SOEC</v>
          </cell>
          <cell r="J98">
            <v>1.2469444465041304E-2</v>
          </cell>
          <cell r="K98">
            <v>8.7302223227075926E-3</v>
          </cell>
        </row>
        <row r="99">
          <cell r="A99" t="str">
            <v>CHEAT</v>
          </cell>
          <cell r="B99" t="str">
            <v>VAR_fin</v>
          </cell>
          <cell r="C99" t="str">
            <v>SUP_DAC</v>
          </cell>
          <cell r="J99">
            <v>5.7862229470339197E-5</v>
          </cell>
          <cell r="K99">
            <v>1.9008605371538791E-4</v>
          </cell>
        </row>
        <row r="100">
          <cell r="A100" t="str">
            <v>EH2</v>
          </cell>
          <cell r="B100" t="str">
            <v>VAR_fout</v>
          </cell>
          <cell r="C100" t="str">
            <v>D-ENGA</v>
          </cell>
          <cell r="J100">
            <v>2.6351689871474761E-5</v>
          </cell>
          <cell r="K100">
            <v>2.0521270726433657E-3</v>
          </cell>
        </row>
        <row r="101">
          <cell r="A101" t="str">
            <v>TDSL</v>
          </cell>
          <cell r="B101" t="str">
            <v>VAR_fout</v>
          </cell>
          <cell r="C101" t="str">
            <v>D-TBDS1</v>
          </cell>
          <cell r="I101">
            <v>2.9733334868857368</v>
          </cell>
          <cell r="J101">
            <v>2.9737960759797422</v>
          </cell>
          <cell r="K101">
            <v>1.622199892488235</v>
          </cell>
        </row>
        <row r="102">
          <cell r="A102" t="str">
            <v>CNGA</v>
          </cell>
          <cell r="B102" t="str">
            <v>VAR_fout</v>
          </cell>
          <cell r="C102" t="str">
            <v>D-CNGA</v>
          </cell>
          <cell r="K102">
            <v>7.0549091143773173E-4</v>
          </cell>
        </row>
        <row r="103">
          <cell r="A103" t="str">
            <v>CNGA</v>
          </cell>
          <cell r="B103" t="str">
            <v>VAR_fin</v>
          </cell>
          <cell r="C103" t="str">
            <v>SUP_NGAH2</v>
          </cell>
          <cell r="K103">
            <v>3.0158584436542479E-4</v>
          </cell>
        </row>
        <row r="104">
          <cell r="A104" t="str">
            <v>CNGA</v>
          </cell>
          <cell r="B104" t="str">
            <v>VAR_fin</v>
          </cell>
          <cell r="C104" t="str">
            <v>SUP_NGAH2CCS</v>
          </cell>
          <cell r="K104">
            <v>4.0390506707230721E-4</v>
          </cell>
        </row>
        <row r="105">
          <cell r="A105" t="str">
            <v>LBIO</v>
          </cell>
          <cell r="B105" t="str">
            <v>VAR_fin</v>
          </cell>
          <cell r="C105" t="str">
            <v>D-LBIO</v>
          </cell>
          <cell r="I105">
            <v>2.8217364720479299E-3</v>
          </cell>
          <cell r="J105">
            <v>5.8791581194409426E-4</v>
          </cell>
          <cell r="K105">
            <v>1.0822197867526789E-5</v>
          </cell>
        </row>
        <row r="106">
          <cell r="A106" t="str">
            <v>H2_E</v>
          </cell>
          <cell r="B106" t="str">
            <v>VAR_fout</v>
          </cell>
          <cell r="C106" t="str">
            <v>SUP_ELCH2_D</v>
          </cell>
          <cell r="I106">
            <v>1.4198762902198291E-3</v>
          </cell>
          <cell r="J106">
            <v>10.014567801518554</v>
          </cell>
          <cell r="K106">
            <v>10.596055271518402</v>
          </cell>
        </row>
        <row r="107">
          <cell r="A107" t="str">
            <v>H2_E</v>
          </cell>
          <cell r="B107" t="str">
            <v>VAR_fin</v>
          </cell>
          <cell r="C107" t="str">
            <v>D-DH2</v>
          </cell>
          <cell r="I107">
            <v>1.4198762902198291E-3</v>
          </cell>
          <cell r="J107">
            <v>10.014567801518554</v>
          </cell>
          <cell r="K107">
            <v>10.596055271518402</v>
          </cell>
        </row>
        <row r="108">
          <cell r="A108" t="str">
            <v>BNGA</v>
          </cell>
          <cell r="B108" t="str">
            <v>VAR_fout</v>
          </cell>
          <cell r="C108" t="str">
            <v>SUP_BIONGA</v>
          </cell>
          <cell r="I108">
            <v>3.9274671311010505</v>
          </cell>
          <cell r="J108">
            <v>10.537383919249441</v>
          </cell>
          <cell r="K108">
            <v>11.541115582705356</v>
          </cell>
        </row>
        <row r="109">
          <cell r="A109" t="str">
            <v>BNGA</v>
          </cell>
          <cell r="B109" t="str">
            <v>VAR_fin</v>
          </cell>
          <cell r="C109" t="str">
            <v>D-ENGA</v>
          </cell>
          <cell r="J109">
            <v>7.4985926832632548E-5</v>
          </cell>
          <cell r="K109">
            <v>7.1506867639899288E-2</v>
          </cell>
        </row>
        <row r="110">
          <cell r="A110" t="str">
            <v>BNGA</v>
          </cell>
          <cell r="B110" t="str">
            <v>VAR_fin</v>
          </cell>
          <cell r="C110" t="str">
            <v>D-CNGA</v>
          </cell>
          <cell r="K110">
            <v>7.077446865226115E-4</v>
          </cell>
        </row>
        <row r="111">
          <cell r="A111" t="str">
            <v>BNGA</v>
          </cell>
          <cell r="B111" t="str">
            <v>VAR_fin</v>
          </cell>
          <cell r="C111" t="str">
            <v>D-TNGA</v>
          </cell>
          <cell r="I111">
            <v>1.7166333593504141E-2</v>
          </cell>
          <cell r="J111">
            <v>1.0593985242353656E-2</v>
          </cell>
          <cell r="K111">
            <v>1.3053775800222825E-3</v>
          </cell>
        </row>
        <row r="112">
          <cell r="A112" t="str">
            <v>BNGA</v>
          </cell>
          <cell r="B112" t="str">
            <v>VAR_fin</v>
          </cell>
          <cell r="C112" t="str">
            <v>D-SNGA</v>
          </cell>
          <cell r="I112">
            <v>0.61559525624357336</v>
          </cell>
          <cell r="J112">
            <v>2.5095649141933714</v>
          </cell>
          <cell r="K112">
            <v>3.1038795191192907</v>
          </cell>
        </row>
        <row r="113">
          <cell r="A113" t="str">
            <v>BNGA</v>
          </cell>
          <cell r="B113" t="str">
            <v>VAR_fin</v>
          </cell>
          <cell r="C113" t="str">
            <v>D-RNGA</v>
          </cell>
          <cell r="I113">
            <v>0.86660171710697642</v>
          </cell>
          <cell r="J113">
            <v>5.5893077488141438</v>
          </cell>
          <cell r="K113">
            <v>5.8989605000300154</v>
          </cell>
        </row>
        <row r="114">
          <cell r="A114" t="str">
            <v>BNGA</v>
          </cell>
          <cell r="B114" t="str">
            <v>VAR_fin</v>
          </cell>
          <cell r="C114" t="str">
            <v>D-INGA</v>
          </cell>
          <cell r="I114">
            <v>2.4284265125864293</v>
          </cell>
          <cell r="J114">
            <v>2.4284281731219908</v>
          </cell>
          <cell r="K114">
            <v>2.4657021513765938</v>
          </cell>
        </row>
        <row r="115">
          <cell r="A115" t="str">
            <v>LFO</v>
          </cell>
          <cell r="B115" t="str">
            <v>VAR_fin</v>
          </cell>
          <cell r="C115" t="str">
            <v>D-ILFO</v>
          </cell>
          <cell r="I115">
            <v>5.7653120578868551</v>
          </cell>
          <cell r="J115">
            <v>3.0566070750016188</v>
          </cell>
          <cell r="K115">
            <v>1.2508163361185459E-5</v>
          </cell>
        </row>
        <row r="116">
          <cell r="A116" t="str">
            <v>LFO</v>
          </cell>
          <cell r="B116" t="str">
            <v>VAR_fin</v>
          </cell>
          <cell r="C116" t="str">
            <v>D-SLFO</v>
          </cell>
          <cell r="I116">
            <v>11.975254631451323</v>
          </cell>
          <cell r="J116">
            <v>6.9016471696562416</v>
          </cell>
          <cell r="K116">
            <v>1.3373310120204116E-5</v>
          </cell>
        </row>
        <row r="117">
          <cell r="A117" t="str">
            <v>LFO</v>
          </cell>
          <cell r="B117" t="str">
            <v>VAR_fin</v>
          </cell>
          <cell r="C117" t="str">
            <v>D-RLFO</v>
          </cell>
          <cell r="I117">
            <v>16.434749622946729</v>
          </cell>
          <cell r="J117">
            <v>6.9828677254063329</v>
          </cell>
          <cell r="K117">
            <v>1.6953592408237569E-5</v>
          </cell>
        </row>
        <row r="118">
          <cell r="A118" t="str">
            <v>MNR</v>
          </cell>
          <cell r="B118" t="str">
            <v>VAR_fin</v>
          </cell>
          <cell r="C118" t="str">
            <v>SUP_MNRBIO</v>
          </cell>
          <cell r="I118">
            <v>12.540446443787125</v>
          </cell>
          <cell r="J118">
            <v>17.360288855860286</v>
          </cell>
          <cell r="K118">
            <v>18.812777150189913</v>
          </cell>
        </row>
        <row r="119">
          <cell r="A119" t="str">
            <v>TNGA</v>
          </cell>
          <cell r="B119" t="str">
            <v>VAR_fout</v>
          </cell>
          <cell r="C119" t="str">
            <v>D-TNGA</v>
          </cell>
          <cell r="I119">
            <v>8.0665066467332056E-2</v>
          </cell>
          <cell r="J119">
            <v>3.1396696343639834E-2</v>
          </cell>
          <cell r="K119">
            <v>2.4402310170007486E-3</v>
          </cell>
        </row>
        <row r="120">
          <cell r="A120" t="str">
            <v>WOD</v>
          </cell>
          <cell r="B120" t="str">
            <v>VAR_fin</v>
          </cell>
          <cell r="C120" t="str">
            <v>D-CWOD</v>
          </cell>
          <cell r="I120">
            <v>5.3272733729624804</v>
          </cell>
          <cell r="J120">
            <v>13.941693209994094</v>
          </cell>
          <cell r="K120">
            <v>14.26368575732071</v>
          </cell>
        </row>
        <row r="121">
          <cell r="A121" t="str">
            <v>GSL</v>
          </cell>
          <cell r="B121" t="str">
            <v>VAR_fout</v>
          </cell>
          <cell r="C121" t="str">
            <v>SUP_H2GSL</v>
          </cell>
          <cell r="J121">
            <v>0.69407695482256615</v>
          </cell>
          <cell r="K121">
            <v>0.74237580453420926</v>
          </cell>
        </row>
        <row r="122">
          <cell r="A122" t="str">
            <v>GSL</v>
          </cell>
          <cell r="B122" t="str">
            <v>VAR_fin</v>
          </cell>
          <cell r="C122" t="str">
            <v>D-TGSL</v>
          </cell>
          <cell r="I122">
            <v>16.891886759322894</v>
          </cell>
          <cell r="J122">
            <v>3.427843070226686</v>
          </cell>
          <cell r="K122">
            <v>0.74237580453420926</v>
          </cell>
        </row>
        <row r="123">
          <cell r="A123" t="str">
            <v>IBIO</v>
          </cell>
          <cell r="B123" t="str">
            <v>VAR_fout</v>
          </cell>
          <cell r="C123" t="str">
            <v>D-IBIO</v>
          </cell>
          <cell r="I123">
            <v>4.8681619302230734</v>
          </cell>
          <cell r="J123">
            <v>4.8681669800652738</v>
          </cell>
          <cell r="K123">
            <v>5.7920289942451166</v>
          </cell>
        </row>
        <row r="124">
          <cell r="A124" t="str">
            <v>SNGA</v>
          </cell>
          <cell r="B124" t="str">
            <v>VAR_fout</v>
          </cell>
          <cell r="C124" t="str">
            <v>D-SNGA</v>
          </cell>
          <cell r="I124">
            <v>15.513560336832759</v>
          </cell>
          <cell r="J124">
            <v>11.18816554199255</v>
          </cell>
          <cell r="K124">
            <v>7.2683559338857293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6.2887845783669253E-5</v>
          </cell>
          <cell r="J125">
            <v>8.5989873279108145E-5</v>
          </cell>
          <cell r="K125">
            <v>7.6160440578528564E-5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2.8270373449401322E-4</v>
          </cell>
          <cell r="J126">
            <v>1.441209332988308</v>
          </cell>
          <cell r="K126">
            <v>2.3115126648061155</v>
          </cell>
        </row>
        <row r="127">
          <cell r="A127" t="str">
            <v>AUX_H2STG_IN</v>
          </cell>
          <cell r="B127" t="str">
            <v>VAR_fin</v>
          </cell>
          <cell r="C127" t="str">
            <v>STG-H2</v>
          </cell>
          <cell r="I127">
            <v>3.5287546044553536E-5</v>
          </cell>
          <cell r="J127">
            <v>3.6242027903160932E-5</v>
          </cell>
          <cell r="K127">
            <v>3.4543506885580538E-5</v>
          </cell>
        </row>
        <row r="128">
          <cell r="A128" t="str">
            <v>AUX_H2STG_IN</v>
          </cell>
          <cell r="B128" t="str">
            <v>VAR_fin</v>
          </cell>
          <cell r="C128" t="str">
            <v>STG-H2</v>
          </cell>
          <cell r="I128">
            <v>5.901036649994446E-5</v>
          </cell>
          <cell r="J128">
            <v>8.3339586862405429E-5</v>
          </cell>
          <cell r="K128">
            <v>5.4461495230131601E-5</v>
          </cell>
        </row>
        <row r="129">
          <cell r="A129" t="str">
            <v>AUX_H2STG_IN</v>
          </cell>
          <cell r="B129" t="str">
            <v>VAR_fin</v>
          </cell>
          <cell r="C129" t="str">
            <v>STG-H2</v>
          </cell>
          <cell r="I129">
            <v>1.2551797616584627E-4</v>
          </cell>
          <cell r="J129">
            <v>1.4410037615002602</v>
          </cell>
          <cell r="K129">
            <v>2.3113474993634227</v>
          </cell>
        </row>
        <row r="130">
          <cell r="A130" t="str">
            <v>H2</v>
          </cell>
          <cell r="B130" t="str">
            <v>VAR_fout</v>
          </cell>
          <cell r="C130" t="str">
            <v>SUP_NGAH2</v>
          </cell>
          <cell r="K130">
            <v>2.2920524171772267E-4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6.182884261965968E-5</v>
          </cell>
          <cell r="J131">
            <v>9.2962717264227486E-5</v>
          </cell>
          <cell r="K131">
            <v>8.2165952716457954E-5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2.7990181695865219E-4</v>
          </cell>
          <cell r="J132">
            <v>1.4267979790501693</v>
          </cell>
          <cell r="K132">
            <v>2.2883981033120278</v>
          </cell>
        </row>
        <row r="133">
          <cell r="A133" t="str">
            <v>H2</v>
          </cell>
          <cell r="B133" t="str">
            <v>VAR_fout</v>
          </cell>
          <cell r="C133" t="str">
            <v>STG-H2</v>
          </cell>
          <cell r="I133">
            <v>1.0799203548859003E-4</v>
          </cell>
          <cell r="J133">
            <v>1.4265029780415401</v>
          </cell>
          <cell r="K133">
            <v>1.7349608446217819</v>
          </cell>
        </row>
        <row r="134">
          <cell r="A134" t="str">
            <v>H2</v>
          </cell>
          <cell r="B134" t="str">
            <v>VAR_fout</v>
          </cell>
          <cell r="C134" t="str">
            <v>STG-H2</v>
          </cell>
          <cell r="I134">
            <v>6.0726642443419665E-5</v>
          </cell>
          <cell r="J134">
            <v>1.3350819133907185E-4</v>
          </cell>
          <cell r="K134">
            <v>0.55325999371558487</v>
          </cell>
        </row>
        <row r="135">
          <cell r="A135" t="str">
            <v>H2</v>
          </cell>
          <cell r="B135" t="str">
            <v>VAR_fout</v>
          </cell>
          <cell r="C135" t="str">
            <v>STG-H2</v>
          </cell>
          <cell r="I135">
            <v>4.9354296406982918E-5</v>
          </cell>
          <cell r="J135">
            <v>6.8530100022343838E-5</v>
          </cell>
          <cell r="K135">
            <v>9.5099021946207945E-5</v>
          </cell>
        </row>
        <row r="136">
          <cell r="A136" t="str">
            <v>H2</v>
          </cell>
          <cell r="B136" t="str">
            <v>VAR_fout</v>
          </cell>
          <cell r="C136" t="str">
            <v>IMPH2</v>
          </cell>
          <cell r="J136">
            <v>1.4086001574231739E-5</v>
          </cell>
          <cell r="K136">
            <v>1.3243397891127236E-5</v>
          </cell>
        </row>
        <row r="137">
          <cell r="A137" t="str">
            <v>H2</v>
          </cell>
          <cell r="B137" t="str">
            <v>VAR_fout</v>
          </cell>
          <cell r="C137" t="str">
            <v>SUP_WODH2</v>
          </cell>
          <cell r="I137">
            <v>1.4923745943551816</v>
          </cell>
          <cell r="J137">
            <v>1.5725063014673428</v>
          </cell>
          <cell r="K137">
            <v>1.5427422486026849</v>
          </cell>
        </row>
        <row r="138">
          <cell r="A138" t="str">
            <v>H2</v>
          </cell>
          <cell r="B138" t="str">
            <v>VAR_fout</v>
          </cell>
          <cell r="C138" t="str">
            <v>SUP_ELCH2_SOEC</v>
          </cell>
          <cell r="J138">
            <v>8.34493591121995E-2</v>
          </cell>
          <cell r="K138">
            <v>7.8572000904368403E-2</v>
          </cell>
        </row>
        <row r="139">
          <cell r="A139" t="str">
            <v>H2</v>
          </cell>
          <cell r="B139" t="str">
            <v>VAR_fout</v>
          </cell>
          <cell r="C139" t="str">
            <v>SUP_NGAH2CCS</v>
          </cell>
          <cell r="K139">
            <v>2.7869449627989198E-4</v>
          </cell>
        </row>
        <row r="140">
          <cell r="A140" t="str">
            <v>H2</v>
          </cell>
          <cell r="B140" t="str">
            <v>VAR_fout</v>
          </cell>
          <cell r="C140" t="str">
            <v>SUP_ELCH2</v>
          </cell>
          <cell r="I140">
            <v>7.4259916824708316</v>
          </cell>
          <cell r="J140">
            <v>16.297870444423758</v>
          </cell>
          <cell r="K140">
            <v>22.815029053190514</v>
          </cell>
        </row>
        <row r="141">
          <cell r="A141" t="str">
            <v>H2</v>
          </cell>
          <cell r="B141" t="str">
            <v>VAR_fout</v>
          </cell>
          <cell r="C141" t="str">
            <v>D-DH2</v>
          </cell>
          <cell r="I141">
            <v>1.40567752731763E-3</v>
          </cell>
          <cell r="J141">
            <v>9.91442212350338</v>
          </cell>
          <cell r="K141">
            <v>10.490094718803215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6.2887845783669253E-5</v>
          </cell>
          <cell r="J142">
            <v>8.5989873279108145E-5</v>
          </cell>
          <cell r="K142">
            <v>7.6160440578528564E-5</v>
          </cell>
        </row>
        <row r="143">
          <cell r="A143" t="str">
            <v>H2</v>
          </cell>
          <cell r="B143" t="str">
            <v>VAR_fin</v>
          </cell>
          <cell r="C143" t="str">
            <v>STG-H2</v>
          </cell>
          <cell r="I143">
            <v>2.8270373449401322E-4</v>
          </cell>
          <cell r="J143">
            <v>1.441209332988308</v>
          </cell>
          <cell r="K143">
            <v>2.3115126648061155</v>
          </cell>
        </row>
        <row r="144">
          <cell r="A144" t="str">
            <v>H2</v>
          </cell>
          <cell r="B144" t="str">
            <v>VAR_fin</v>
          </cell>
          <cell r="C144" t="str">
            <v>STG-H2</v>
          </cell>
          <cell r="I144">
            <v>3.5287546044553536E-5</v>
          </cell>
          <cell r="J144">
            <v>3.6242027903160932E-5</v>
          </cell>
          <cell r="K144">
            <v>3.4543506885580538E-5</v>
          </cell>
        </row>
        <row r="145">
          <cell r="A145" t="str">
            <v>H2</v>
          </cell>
          <cell r="B145" t="str">
            <v>VAR_fin</v>
          </cell>
          <cell r="C145" t="str">
            <v>STG-H2</v>
          </cell>
          <cell r="I145">
            <v>5.901036649994446E-5</v>
          </cell>
          <cell r="J145">
            <v>8.3339586862405429E-5</v>
          </cell>
          <cell r="K145">
            <v>5.4461495230131601E-5</v>
          </cell>
        </row>
        <row r="146">
          <cell r="A146" t="str">
            <v>H2</v>
          </cell>
          <cell r="B146" t="str">
            <v>VAR_fin</v>
          </cell>
          <cell r="C146" t="str">
            <v>STG-H2</v>
          </cell>
          <cell r="I146">
            <v>1.2551797616584627E-4</v>
          </cell>
          <cell r="J146">
            <v>1.4410037615002602</v>
          </cell>
          <cell r="K146">
            <v>2.3113474993634227</v>
          </cell>
        </row>
        <row r="147">
          <cell r="A147" t="str">
            <v>H2</v>
          </cell>
          <cell r="B147" t="str">
            <v>VAR_fin</v>
          </cell>
          <cell r="C147" t="str">
            <v>SUP_H2NGA</v>
          </cell>
          <cell r="J147">
            <v>16.599594375952123</v>
          </cell>
          <cell r="K147">
            <v>20.59361320191762</v>
          </cell>
        </row>
        <row r="148">
          <cell r="A148" t="str">
            <v>H2</v>
          </cell>
          <cell r="B148" t="str">
            <v>VAR_fin</v>
          </cell>
          <cell r="C148" t="str">
            <v>D-ENGA</v>
          </cell>
          <cell r="J148">
            <v>9.0254772639446438E-6</v>
          </cell>
          <cell r="K148">
            <v>2.0229543951908709E-3</v>
          </cell>
        </row>
        <row r="149">
          <cell r="A149" t="str">
            <v>H2</v>
          </cell>
          <cell r="B149" t="str">
            <v>VAR_fin</v>
          </cell>
          <cell r="C149" t="str">
            <v>D-TNGA</v>
          </cell>
          <cell r="I149">
            <v>2.0041312887611232E-4</v>
          </cell>
          <cell r="J149">
            <v>5.7901534208523113E-4</v>
          </cell>
          <cell r="K149">
            <v>5.1632513560869676E-5</v>
          </cell>
        </row>
        <row r="150">
          <cell r="A150" t="str">
            <v>H2</v>
          </cell>
          <cell r="B150" t="str">
            <v>VAR_fin</v>
          </cell>
          <cell r="C150" t="str">
            <v>SUP_H2GSL</v>
          </cell>
          <cell r="J150">
            <v>0.99153850688938117</v>
          </cell>
          <cell r="K150">
            <v>1.0605368636203014</v>
          </cell>
        </row>
        <row r="151">
          <cell r="A151" t="str">
            <v>H2</v>
          </cell>
          <cell r="B151" t="str">
            <v>VAR_fin</v>
          </cell>
          <cell r="C151" t="str">
            <v>D-SNGA</v>
          </cell>
          <cell r="I151">
            <v>3.4347220086078283E-3</v>
          </cell>
          <cell r="J151">
            <v>4.9725298215333464E-3</v>
          </cell>
          <cell r="K151">
            <v>4.2052100184066599E-3</v>
          </cell>
        </row>
        <row r="152">
          <cell r="A152" t="str">
            <v>H2</v>
          </cell>
          <cell r="B152" t="str">
            <v>VAR_fin</v>
          </cell>
          <cell r="C152" t="str">
            <v>D-RNGA</v>
          </cell>
          <cell r="I152">
            <v>7.0899432396952953E-3</v>
          </cell>
          <cell r="J152">
            <v>1.392619501260957E-2</v>
          </cell>
          <cell r="K152">
            <v>1.5896903463357367E-2</v>
          </cell>
        </row>
        <row r="153">
          <cell r="A153" t="str">
            <v>H2</v>
          </cell>
          <cell r="B153" t="str">
            <v>VAR_fin</v>
          </cell>
          <cell r="C153" t="str">
            <v>D-INGA</v>
          </cell>
          <cell r="I153">
            <v>0.31685321387818333</v>
          </cell>
          <cell r="J153">
            <v>0.18200150309329099</v>
          </cell>
          <cell r="K153">
            <v>0.12428556845826194</v>
          </cell>
        </row>
        <row r="154">
          <cell r="A154" t="str">
            <v>H2</v>
          </cell>
          <cell r="B154" t="str">
            <v>VAR_fin</v>
          </cell>
          <cell r="C154" t="str">
            <v>SUP_H2DSL</v>
          </cell>
          <cell r="J154">
            <v>7.2342221226871653E-3</v>
          </cell>
          <cell r="K154">
            <v>2.5039153202349071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6.182884261965968E-5</v>
          </cell>
          <cell r="J155">
            <v>9.2962717264227486E-5</v>
          </cell>
          <cell r="K155">
            <v>8.2165952716457954E-5</v>
          </cell>
        </row>
        <row r="156">
          <cell r="A156" t="str">
            <v>AUX_H2STG_OUT</v>
          </cell>
          <cell r="B156" t="str">
            <v>VAR_fout</v>
          </cell>
          <cell r="C156" t="str">
            <v>STG-H2</v>
          </cell>
          <cell r="I156">
            <v>2.7990181695865219E-4</v>
          </cell>
          <cell r="J156">
            <v>1.4267979790501693</v>
          </cell>
          <cell r="K156">
            <v>2.2883981033120278</v>
          </cell>
        </row>
        <row r="157">
          <cell r="A157" t="str">
            <v>AUX_H2STG_OUT</v>
          </cell>
          <cell r="B157" t="str">
            <v>VAR_fout</v>
          </cell>
          <cell r="C157" t="str">
            <v>STG-H2</v>
          </cell>
          <cell r="I157">
            <v>1.0799203548859003E-4</v>
          </cell>
          <cell r="J157">
            <v>1.4265029780415401</v>
          </cell>
          <cell r="K157">
            <v>1.7349608446217819</v>
          </cell>
        </row>
        <row r="158">
          <cell r="A158" t="str">
            <v>AUX_H2STG_OUT</v>
          </cell>
          <cell r="B158" t="str">
            <v>VAR_fout</v>
          </cell>
          <cell r="C158" t="str">
            <v>STG-H2</v>
          </cell>
          <cell r="I158">
            <v>6.0726642443419665E-5</v>
          </cell>
          <cell r="J158">
            <v>1.3350819133907185E-4</v>
          </cell>
          <cell r="K158">
            <v>0.55325999371558487</v>
          </cell>
        </row>
        <row r="159">
          <cell r="A159" t="str">
            <v>AUX_H2STG_OUT</v>
          </cell>
          <cell r="B159" t="str">
            <v>VAR_fout</v>
          </cell>
          <cell r="C159" t="str">
            <v>STG-H2</v>
          </cell>
          <cell r="I159">
            <v>4.9354296406982918E-5</v>
          </cell>
          <cell r="J159">
            <v>6.8530100022343838E-5</v>
          </cell>
          <cell r="K159">
            <v>9.5099021946207945E-5</v>
          </cell>
        </row>
        <row r="160">
          <cell r="A160" t="str">
            <v>RNGA</v>
          </cell>
          <cell r="B160" t="str">
            <v>VAR_fout</v>
          </cell>
          <cell r="C160" t="str">
            <v>D-RNGA</v>
          </cell>
          <cell r="I160">
            <v>31.219060520562351</v>
          </cell>
          <cell r="J160">
            <v>22.840214217369468</v>
          </cell>
          <cell r="K160">
            <v>15.960018483021955</v>
          </cell>
        </row>
        <row r="161">
          <cell r="A161" t="str">
            <v>CWOD</v>
          </cell>
          <cell r="B161" t="str">
            <v>VAR_fout</v>
          </cell>
          <cell r="C161" t="str">
            <v>D-CWOD</v>
          </cell>
          <cell r="I161">
            <v>5.3272733729624804</v>
          </cell>
          <cell r="J161">
            <v>13.941693209994094</v>
          </cell>
          <cell r="K161">
            <v>14.26368575732071</v>
          </cell>
        </row>
        <row r="162">
          <cell r="A162" t="str">
            <v>CWOD</v>
          </cell>
          <cell r="B162" t="str">
            <v>VAR_fin</v>
          </cell>
          <cell r="C162" t="str">
            <v>SUP_WODH2</v>
          </cell>
          <cell r="I162">
            <v>2.4872909905919687</v>
          </cell>
          <cell r="J162">
            <v>2.6208438357789055</v>
          </cell>
          <cell r="K162">
            <v>2.5712370810044756</v>
          </cell>
        </row>
        <row r="163">
          <cell r="A163" t="str">
            <v>CWOD</v>
          </cell>
          <cell r="B163" t="str">
            <v>VAR_fin</v>
          </cell>
          <cell r="C163" t="str">
            <v>SUP_WODBIO</v>
          </cell>
          <cell r="I163">
            <v>1.1788583558530697E-3</v>
          </cell>
          <cell r="J163">
            <v>8.1217805169085278</v>
          </cell>
          <cell r="K163">
            <v>8.1218104695352675</v>
          </cell>
        </row>
        <row r="164">
          <cell r="A164" t="str">
            <v>CWOD</v>
          </cell>
          <cell r="B164" t="str">
            <v>VAR_fin</v>
          </cell>
          <cell r="C164" t="str">
            <v>CT_CWODBDS</v>
          </cell>
          <cell r="I164">
            <v>1.5187425522238003E-3</v>
          </cell>
          <cell r="J164">
            <v>1.6561334041912713E-2</v>
          </cell>
          <cell r="K164">
            <v>0.45145913989816222</v>
          </cell>
        </row>
        <row r="165">
          <cell r="A165" t="str">
            <v>CWOD</v>
          </cell>
          <cell r="B165" t="str">
            <v>VAR_fin</v>
          </cell>
          <cell r="C165" t="str">
            <v>CT_CWODPLT</v>
          </cell>
          <cell r="I165">
            <v>2.8366854158613628</v>
          </cell>
          <cell r="J165">
            <v>3.1817415224748</v>
          </cell>
          <cell r="K165">
            <v>3.1181807945306863</v>
          </cell>
        </row>
        <row r="166">
          <cell r="A166" t="str">
            <v>CWOD</v>
          </cell>
          <cell r="B166" t="str">
            <v>VAR_fin</v>
          </cell>
          <cell r="C166" t="str">
            <v>CT_CWODETH</v>
          </cell>
          <cell r="I166">
            <v>5.9936560107318301E-4</v>
          </cell>
          <cell r="J166">
            <v>7.6600078993267046E-4</v>
          </cell>
          <cell r="K166">
            <v>1.075847719128559E-3</v>
          </cell>
        </row>
        <row r="167">
          <cell r="A167" t="str">
            <v>KER</v>
          </cell>
          <cell r="B167" t="str">
            <v>VAR_fout</v>
          </cell>
          <cell r="C167" t="str">
            <v>SUP_H2DSL</v>
          </cell>
          <cell r="J167">
            <v>3.5149727541952186E-4</v>
          </cell>
        </row>
        <row r="168">
          <cell r="A168" t="str">
            <v>BDS</v>
          </cell>
          <cell r="B168" t="str">
            <v>VAR_fout</v>
          </cell>
          <cell r="C168" t="str">
            <v>IMPBDS</v>
          </cell>
          <cell r="I168">
            <v>3.0445351209402483</v>
          </cell>
          <cell r="J168">
            <v>3.0379105114258782</v>
          </cell>
          <cell r="K168">
            <v>5.8310182072954397</v>
          </cell>
        </row>
        <row r="169">
          <cell r="A169" t="str">
            <v>BDS</v>
          </cell>
          <cell r="B169" t="str">
            <v>VAR_fout</v>
          </cell>
          <cell r="C169" t="str">
            <v>CT_CWODBDS</v>
          </cell>
          <cell r="I169">
            <v>5.3298562983814738E-4</v>
          </cell>
          <cell r="J169">
            <v>5.8120140522592515E-3</v>
          </cell>
          <cell r="K169">
            <v>0.15843451128203634</v>
          </cell>
        </row>
        <row r="170">
          <cell r="A170" t="str">
            <v>BDS</v>
          </cell>
          <cell r="B170" t="str">
            <v>VAR_fin</v>
          </cell>
          <cell r="C170" t="str">
            <v>D-ILFO</v>
          </cell>
          <cell r="I170">
            <v>2.067701418034975E-2</v>
          </cell>
          <cell r="J170">
            <v>2.0680825507702248E-2</v>
          </cell>
          <cell r="K170">
            <v>0.23512469263941316</v>
          </cell>
        </row>
        <row r="171">
          <cell r="A171" t="str">
            <v>BDS</v>
          </cell>
          <cell r="B171" t="str">
            <v>VAR_fin</v>
          </cell>
          <cell r="C171" t="str">
            <v>D-SLFO</v>
          </cell>
          <cell r="I171">
            <v>1.3498655333758886E-3</v>
          </cell>
          <cell r="J171">
            <v>9.632065050980287E-4</v>
          </cell>
          <cell r="K171">
            <v>1.3014715481742718</v>
          </cell>
        </row>
        <row r="172">
          <cell r="A172" t="str">
            <v>BDS</v>
          </cell>
          <cell r="B172" t="str">
            <v>VAR_fin</v>
          </cell>
          <cell r="C172" t="str">
            <v>D-RLFO</v>
          </cell>
          <cell r="I172">
            <v>1.3515796194580884E-3</v>
          </cell>
          <cell r="J172">
            <v>9.6578817794242715E-4</v>
          </cell>
          <cell r="K172">
            <v>1.0904892293727593</v>
          </cell>
        </row>
        <row r="173">
          <cell r="A173" t="str">
            <v>BDS</v>
          </cell>
          <cell r="B173" t="str">
            <v>VAR_fin</v>
          </cell>
          <cell r="C173" t="str">
            <v>D-TBDS1</v>
          </cell>
          <cell r="I173">
            <v>3.0217133118035813</v>
          </cell>
          <cell r="J173">
            <v>3.0211356857897145</v>
          </cell>
          <cell r="K173">
            <v>3.3623898811383501</v>
          </cell>
        </row>
        <row r="174">
          <cell r="A174" t="str">
            <v>BIO</v>
          </cell>
          <cell r="B174" t="str">
            <v>VAR_fout</v>
          </cell>
          <cell r="C174" t="str">
            <v>SUP_WSTHTGBIO</v>
          </cell>
          <cell r="J174">
            <v>0.10124789669544981</v>
          </cell>
          <cell r="K174">
            <v>0.11850266919353812</v>
          </cell>
        </row>
        <row r="175">
          <cell r="A175" t="str">
            <v>BIO</v>
          </cell>
          <cell r="B175" t="str">
            <v>VAR_fout</v>
          </cell>
          <cell r="C175" t="str">
            <v>SUP_WSTBIO</v>
          </cell>
          <cell r="I175">
            <v>7.6886772642684678</v>
          </cell>
          <cell r="J175">
            <v>8.4080489073263092</v>
          </cell>
          <cell r="K175">
            <v>9.8447465675045578</v>
          </cell>
        </row>
        <row r="176">
          <cell r="A176" t="str">
            <v>BIO</v>
          </cell>
          <cell r="B176" t="str">
            <v>VAR_fout</v>
          </cell>
          <cell r="C176" t="str">
            <v>D-LBIO</v>
          </cell>
          <cell r="I176">
            <v>2.8217364720479299E-3</v>
          </cell>
          <cell r="J176">
            <v>5.8791581194409426E-4</v>
          </cell>
          <cell r="K176">
            <v>1.0822197867526789E-5</v>
          </cell>
        </row>
        <row r="177">
          <cell r="A177" t="str">
            <v>BIO</v>
          </cell>
          <cell r="B177" t="str">
            <v>VAR_fout</v>
          </cell>
          <cell r="C177" t="str">
            <v>SUP_MNRBIO</v>
          </cell>
          <cell r="I177">
            <v>4.3847714838416545</v>
          </cell>
          <cell r="J177">
            <v>6.070031068482626</v>
          </cell>
          <cell r="K177">
            <v>6.5778941084580129</v>
          </cell>
        </row>
        <row r="178">
          <cell r="A178" t="str">
            <v>BIO</v>
          </cell>
          <cell r="B178" t="str">
            <v>VAR_fout</v>
          </cell>
          <cell r="C178" t="str">
            <v>SUP_WODBIO</v>
          </cell>
          <cell r="I178">
            <v>8.732284117430138E-4</v>
          </cell>
          <cell r="J178">
            <v>6.0161337162285413</v>
          </cell>
          <cell r="K178">
            <v>6.0161559033594525</v>
          </cell>
        </row>
        <row r="179">
          <cell r="A179" t="str">
            <v>BIO</v>
          </cell>
          <cell r="B179" t="str">
            <v>VAR_fin</v>
          </cell>
          <cell r="C179" t="str">
            <v>D-IBIO</v>
          </cell>
          <cell r="I179">
            <v>4.8681619302230734</v>
          </cell>
          <cell r="J179">
            <v>4.8681669800652738</v>
          </cell>
          <cell r="K179">
            <v>5.7920289942451166</v>
          </cell>
        </row>
        <row r="180">
          <cell r="A180" t="str">
            <v>BIO</v>
          </cell>
          <cell r="B180" t="str">
            <v>VAR_fin</v>
          </cell>
          <cell r="C180" t="str">
            <v>D-EBIO</v>
          </cell>
          <cell r="I180">
            <v>1.1839708084664389</v>
          </cell>
          <cell r="J180">
            <v>1.1839654858709106</v>
          </cell>
          <cell r="K180">
            <v>1.1839784748172806</v>
          </cell>
        </row>
        <row r="181">
          <cell r="A181" t="str">
            <v>BIO</v>
          </cell>
          <cell r="B181" t="str">
            <v>VAR_fin</v>
          </cell>
          <cell r="C181" t="str">
            <v>D-CBIO</v>
          </cell>
          <cell r="I181">
            <v>4.3033635783296775</v>
          </cell>
          <cell r="J181">
            <v>11.545913092406241</v>
          </cell>
          <cell r="K181">
            <v>12.645711547427705</v>
          </cell>
        </row>
        <row r="182">
          <cell r="A182" t="str">
            <v>BIO</v>
          </cell>
          <cell r="B182" t="str">
            <v>VAR_fin</v>
          </cell>
          <cell r="C182" t="str">
            <v>D-SBIO</v>
          </cell>
          <cell r="I182">
            <v>2.9946595639826699</v>
          </cell>
          <cell r="J182">
            <v>2.9498746804029392</v>
          </cell>
          <cell r="K182">
            <v>2.8718142141048943</v>
          </cell>
        </row>
        <row r="183">
          <cell r="A183" t="str">
            <v>TKERintl_SAF</v>
          </cell>
          <cell r="B183" t="str">
            <v>VAR_fout</v>
          </cell>
          <cell r="C183" t="str">
            <v>D-TBDS1intl</v>
          </cell>
          <cell r="I183">
            <v>17.5339273897706</v>
          </cell>
          <cell r="J183">
            <v>29.8067894999452</v>
          </cell>
          <cell r="K183">
            <v>80.055542526919794</v>
          </cell>
        </row>
        <row r="184">
          <cell r="A184" t="str">
            <v>EBIO</v>
          </cell>
          <cell r="B184" t="str">
            <v>VAR_fout</v>
          </cell>
          <cell r="C184" t="str">
            <v>D-EBIO</v>
          </cell>
          <cell r="I184">
            <v>1.1839708084664389</v>
          </cell>
          <cell r="J184">
            <v>1.1839654858709106</v>
          </cell>
          <cell r="K184">
            <v>1.1839784748172806</v>
          </cell>
        </row>
        <row r="185">
          <cell r="A185" t="str">
            <v>PLT</v>
          </cell>
          <cell r="B185" t="str">
            <v>VAR_fout</v>
          </cell>
          <cell r="C185" t="str">
            <v>CT_CWODPLT</v>
          </cell>
          <cell r="I185">
            <v>2.3828157493235436</v>
          </cell>
          <cell r="J185">
            <v>2.6726628788788318</v>
          </cell>
          <cell r="K185">
            <v>2.6192718674057742</v>
          </cell>
        </row>
        <row r="186">
          <cell r="A186" t="str">
            <v>SLFO</v>
          </cell>
          <cell r="B186" t="str">
            <v>VAR_fout</v>
          </cell>
          <cell r="C186" t="str">
            <v>D-SLFO</v>
          </cell>
          <cell r="I186">
            <v>11.776576529729931</v>
          </cell>
          <cell r="J186">
            <v>6.7873256860145847</v>
          </cell>
          <cell r="K186">
            <v>1.2797451625720144</v>
          </cell>
        </row>
        <row r="187">
          <cell r="A187" t="str">
            <v>ETH</v>
          </cell>
          <cell r="B187" t="str">
            <v>VAR_fout</v>
          </cell>
          <cell r="C187" t="str">
            <v>IMPETH</v>
          </cell>
          <cell r="I187">
            <v>1.5819373865668636</v>
          </cell>
          <cell r="J187">
            <v>2.863850046239325</v>
          </cell>
          <cell r="K187">
            <v>7.1232835390029822E-2</v>
          </cell>
        </row>
        <row r="188">
          <cell r="A188" t="str">
            <v>ETH</v>
          </cell>
          <cell r="B188" t="str">
            <v>VAR_fout</v>
          </cell>
          <cell r="C188" t="str">
            <v>CT_CWODETH</v>
          </cell>
          <cell r="I188">
            <v>2.8677779955654683E-4</v>
          </cell>
          <cell r="J188">
            <v>3.6650755499170826E-4</v>
          </cell>
          <cell r="K188">
            <v>5.1475967422419139E-4</v>
          </cell>
        </row>
        <row r="189">
          <cell r="A189" t="str">
            <v>ETH</v>
          </cell>
          <cell r="B189" t="str">
            <v>VAR_fin</v>
          </cell>
          <cell r="C189" t="str">
            <v>D-TGSL</v>
          </cell>
          <cell r="I189">
            <v>1.582224164366421</v>
          </cell>
          <cell r="J189">
            <v>2.8642165537943169</v>
          </cell>
          <cell r="K189">
            <v>7.1747595064254016E-2</v>
          </cell>
        </row>
        <row r="190">
          <cell r="A190" t="str">
            <v>TGSL</v>
          </cell>
          <cell r="B190" t="str">
            <v>VAR_fout</v>
          </cell>
          <cell r="C190" t="str">
            <v>D-TGSL</v>
          </cell>
          <cell r="I190">
            <v>18.202613454764705</v>
          </cell>
          <cell r="J190">
            <v>6.1995855632601868</v>
          </cell>
          <cell r="K190">
            <v>0.80215578980043944</v>
          </cell>
        </row>
        <row r="191">
          <cell r="A191" t="str">
            <v>RLFO</v>
          </cell>
          <cell r="B191" t="str">
            <v>VAR_fout</v>
          </cell>
          <cell r="C191" t="str">
            <v>D-RLFO</v>
          </cell>
          <cell r="I191">
            <v>16.161598788707291</v>
          </cell>
          <cell r="J191">
            <v>6.8671951276302616</v>
          </cell>
          <cell r="K191">
            <v>1.0722831935635693</v>
          </cell>
        </row>
        <row r="192">
          <cell r="A192" t="str">
            <v>CELC_E</v>
          </cell>
          <cell r="B192" t="str">
            <v>VAR_fout</v>
          </cell>
          <cell r="C192" t="str">
            <v>ESOL-PV_E</v>
          </cell>
          <cell r="I192">
            <v>1.8868787909898073E-3</v>
          </cell>
          <cell r="J192">
            <v>12.922022969701372</v>
          </cell>
          <cell r="K192">
            <v>12.922018623802934</v>
          </cell>
        </row>
        <row r="193">
          <cell r="A193" t="str">
            <v>CELC_E</v>
          </cell>
          <cell r="B193" t="str">
            <v>VAR_fin</v>
          </cell>
          <cell r="C193" t="str">
            <v>SUP_ELCH2_D</v>
          </cell>
          <cell r="I193">
            <v>1.8868787909898073E-3</v>
          </cell>
          <cell r="J193">
            <v>12.922022969701372</v>
          </cell>
          <cell r="K193">
            <v>12.922018623802934</v>
          </cell>
        </row>
        <row r="194">
          <cell r="A194" t="str">
            <v>CBIO</v>
          </cell>
          <cell r="B194" t="str">
            <v>VAR_fout</v>
          </cell>
          <cell r="C194" t="str">
            <v>D-CBIO</v>
          </cell>
          <cell r="I194">
            <v>4.3033635783296775</v>
          </cell>
          <cell r="J194">
            <v>11.545913092406241</v>
          </cell>
          <cell r="K194">
            <v>12.645711547427705</v>
          </cell>
        </row>
        <row r="195">
          <cell r="A195" t="str">
            <v>CBIO</v>
          </cell>
          <cell r="B195" t="str">
            <v>VAR_fin</v>
          </cell>
          <cell r="C195" t="str">
            <v>SUP_BIONGA</v>
          </cell>
          <cell r="I195">
            <v>4.3033635783296775</v>
          </cell>
          <cell r="J195">
            <v>11.545913092406241</v>
          </cell>
          <cell r="K195">
            <v>12.645711547427705</v>
          </cell>
        </row>
        <row r="196">
          <cell r="A196" t="str">
            <v>RSH2</v>
          </cell>
          <cell r="B196" t="str">
            <v>VAR_fout</v>
          </cell>
          <cell r="C196" t="str">
            <v>D-SNGA</v>
          </cell>
          <cell r="I196">
            <v>3.4394042249635535E-3</v>
          </cell>
          <cell r="J196">
            <v>4.9844094673713027E-3</v>
          </cell>
          <cell r="K196">
            <v>4.2154502242806226E-3</v>
          </cell>
        </row>
        <row r="197">
          <cell r="A197" t="str">
            <v>RSH2</v>
          </cell>
          <cell r="B197" t="str">
            <v>VAR_fout</v>
          </cell>
          <cell r="C197" t="str">
            <v>D-RNGA</v>
          </cell>
          <cell r="I197">
            <v>7.0946254560474995E-3</v>
          </cell>
          <cell r="J197">
            <v>1.3929601969414044E-2</v>
          </cell>
          <cell r="K197">
            <v>1.5905327626479171E-2</v>
          </cell>
        </row>
        <row r="198">
          <cell r="A198" t="str">
            <v>LTH</v>
          </cell>
          <cell r="B198" t="str">
            <v>VAR_fout</v>
          </cell>
          <cell r="C198" t="str">
            <v>SUP_WODBIO</v>
          </cell>
          <cell r="I198">
            <v>1.0478740940916168E-4</v>
          </cell>
          <cell r="J198">
            <v>0.72193604594742511</v>
          </cell>
          <cell r="K198">
            <v>0.72193870840313468</v>
          </cell>
        </row>
        <row r="199">
          <cell r="A199" t="str">
            <v>LTH</v>
          </cell>
          <cell r="B199" t="str">
            <v>VAR_fout</v>
          </cell>
          <cell r="C199" t="str">
            <v>CT_CWODBDS</v>
          </cell>
          <cell r="I199">
            <v>2.0786439563687709E-4</v>
          </cell>
          <cell r="J199">
            <v>2.2666854803811052E-3</v>
          </cell>
          <cell r="K199">
            <v>6.1789459399994119E-2</v>
          </cell>
        </row>
        <row r="200">
          <cell r="A200" t="str">
            <v>LTH</v>
          </cell>
          <cell r="B200" t="str">
            <v>VAR_fin</v>
          </cell>
          <cell r="C200" t="str">
            <v>D-CHEAT</v>
          </cell>
          <cell r="J200">
            <v>5.3994469715000905E-4</v>
          </cell>
          <cell r="K200">
            <v>3.5444732299528283E-3</v>
          </cell>
        </row>
        <row r="201">
          <cell r="A201" t="str">
            <v>LNGA</v>
          </cell>
          <cell r="B201" t="str">
            <v>VAR_fin</v>
          </cell>
          <cell r="C201" t="str">
            <v>D-LNGA</v>
          </cell>
          <cell r="I201">
            <v>5.5110513411460024E-3</v>
          </cell>
          <cell r="J201">
            <v>4.1657299810063187E-3</v>
          </cell>
          <cell r="K201">
            <v>1.092532376572196E-5</v>
          </cell>
        </row>
        <row r="202">
          <cell r="A202" t="str">
            <v>IH2</v>
          </cell>
          <cell r="B202" t="str">
            <v>VAR_fout</v>
          </cell>
          <cell r="C202" t="str">
            <v>D-INGA</v>
          </cell>
          <cell r="I202">
            <v>0.31685418705362506</v>
          </cell>
          <cell r="J202">
            <v>0.18200404027151629</v>
          </cell>
          <cell r="K202">
            <v>0.12429699184659726</v>
          </cell>
        </row>
        <row r="203">
          <cell r="A203" t="str">
            <v>WHEAT</v>
          </cell>
          <cell r="B203" t="str">
            <v>VAR_fin</v>
          </cell>
          <cell r="C203" t="str">
            <v>D-CHEAT</v>
          </cell>
          <cell r="J203">
            <v>1.2004085887447773E-2</v>
          </cell>
          <cell r="K203">
            <v>5.3851240292388733E-3</v>
          </cell>
        </row>
        <row r="204">
          <cell r="A204" t="str">
            <v>SOL</v>
          </cell>
          <cell r="B204" t="str">
            <v>VAR_fin</v>
          </cell>
          <cell r="C204" t="str">
            <v>ESOL-PV_A</v>
          </cell>
          <cell r="I204">
            <v>1.2719962140785561</v>
          </cell>
          <cell r="J204">
            <v>3.5999982000138577</v>
          </cell>
          <cell r="K204">
            <v>4.1010591275894397</v>
          </cell>
        </row>
        <row r="205">
          <cell r="A205" t="str">
            <v>SOL</v>
          </cell>
          <cell r="B205" t="str">
            <v>VAR_fin</v>
          </cell>
          <cell r="C205" t="str">
            <v>ESOL-PV_E</v>
          </cell>
          <cell r="I205">
            <v>1.8868787909898073E-3</v>
          </cell>
          <cell r="J205">
            <v>12.922022969701372</v>
          </cell>
          <cell r="K205">
            <v>12.922018623802934</v>
          </cell>
        </row>
        <row r="206">
          <cell r="A206" t="str">
            <v>TKER</v>
          </cell>
          <cell r="B206" t="str">
            <v>VAR_fout</v>
          </cell>
          <cell r="C206" t="str">
            <v>D-TBDS1</v>
          </cell>
          <cell r="I206">
            <v>3.9723646996192097E-3</v>
          </cell>
          <cell r="J206">
            <v>2.9468270854858601E-3</v>
          </cell>
          <cell r="K206">
            <v>1.6907816044828201</v>
          </cell>
        </row>
        <row r="207">
          <cell r="A207" t="str">
            <v>BDS1</v>
          </cell>
          <cell r="B207" t="str">
            <v>VAR_fout</v>
          </cell>
          <cell r="C207" t="str">
            <v>IMPBDS1</v>
          </cell>
          <cell r="I207">
            <v>17.5339273897706</v>
          </cell>
          <cell r="J207">
            <v>29.8067894999452</v>
          </cell>
          <cell r="K207">
            <v>80.055542526919794</v>
          </cell>
        </row>
        <row r="208">
          <cell r="A208" t="str">
            <v>BDS1</v>
          </cell>
          <cell r="B208" t="str">
            <v>VAR_fin</v>
          </cell>
          <cell r="C208" t="str">
            <v>D-TBDS1intl</v>
          </cell>
          <cell r="I208">
            <v>17.5339273897706</v>
          </cell>
          <cell r="J208">
            <v>29.8067894999452</v>
          </cell>
          <cell r="K208">
            <v>80.055542526919794</v>
          </cell>
        </row>
        <row r="209">
          <cell r="A209" t="str">
            <v>CELC</v>
          </cell>
          <cell r="B209" t="str">
            <v>VAR_fout</v>
          </cell>
          <cell r="C209" t="str">
            <v>D-CELC</v>
          </cell>
          <cell r="I209">
            <v>9.8689348431036112</v>
          </cell>
          <cell r="J209">
            <v>21.407955500741345</v>
          </cell>
          <cell r="K209">
            <v>28.278373596624128</v>
          </cell>
        </row>
        <row r="210">
          <cell r="A210" t="str">
            <v>CELC</v>
          </cell>
          <cell r="B210" t="str">
            <v>VAR_fin</v>
          </cell>
          <cell r="C210" t="str">
            <v>SUP_H2NGA</v>
          </cell>
          <cell r="J210">
            <v>0.29397881639811207</v>
          </cell>
          <cell r="K210">
            <v>0.36471288980596089</v>
          </cell>
        </row>
        <row r="211">
          <cell r="A211" t="str">
            <v>CELC</v>
          </cell>
          <cell r="B211" t="str">
            <v>VAR_fin</v>
          </cell>
          <cell r="C211" t="str">
            <v>SUP_ELCH2_SOEC</v>
          </cell>
          <cell r="J211">
            <v>8.34493591121995E-2</v>
          </cell>
          <cell r="K211">
            <v>7.8572000904368403E-2</v>
          </cell>
        </row>
        <row r="212">
          <cell r="A212" t="str">
            <v>CELC</v>
          </cell>
          <cell r="B212" t="str">
            <v>VAR_fin</v>
          </cell>
          <cell r="C212" t="str">
            <v>SUP_ELCH2</v>
          </cell>
          <cell r="I212">
            <v>9.8684274850110629</v>
          </cell>
          <cell r="J212">
            <v>21.029510250869368</v>
          </cell>
          <cell r="K212">
            <v>27.823206162427468</v>
          </cell>
        </row>
        <row r="213">
          <cell r="A213" t="str">
            <v>CELC</v>
          </cell>
          <cell r="B213" t="str">
            <v>VAR_fin</v>
          </cell>
          <cell r="C213" t="str">
            <v>CT_CWODBDS</v>
          </cell>
          <cell r="I213">
            <v>3.7042501273751222E-5</v>
          </cell>
          <cell r="J213">
            <v>4.0393497663201777E-4</v>
          </cell>
          <cell r="K213">
            <v>1.1011198534101522E-2</v>
          </cell>
        </row>
        <row r="214">
          <cell r="A214" t="str">
            <v>CELC</v>
          </cell>
          <cell r="B214" t="str">
            <v>VAR_fin</v>
          </cell>
          <cell r="C214" t="str">
            <v>CT_CWODETH</v>
          </cell>
          <cell r="I214">
            <v>4.7031559127273668E-4</v>
          </cell>
          <cell r="J214">
            <v>6.0107239018640209E-4</v>
          </cell>
          <cell r="K214">
            <v>8.4420586572767347E-4</v>
          </cell>
        </row>
        <row r="215">
          <cell r="A215" t="str">
            <v>CELC</v>
          </cell>
          <cell r="B215" t="str">
            <v>VAR_fin</v>
          </cell>
          <cell r="C215" t="str">
            <v>SUP_DAC</v>
          </cell>
          <cell r="J215">
            <v>1.2066994863899801E-5</v>
          </cell>
          <cell r="K215">
            <v>2.7139086527112083E-5</v>
          </cell>
        </row>
        <row r="216">
          <cell r="A216" t="str">
            <v>SBIO</v>
          </cell>
          <cell r="B216" t="str">
            <v>VAR_fout</v>
          </cell>
          <cell r="C216" t="str">
            <v>D-SBIO</v>
          </cell>
          <cell r="I216">
            <v>2.9946595639826699</v>
          </cell>
          <cell r="J216">
            <v>2.9498746804029392</v>
          </cell>
          <cell r="K216">
            <v>2.8718142141048943</v>
          </cell>
        </row>
        <row r="217">
          <cell r="A217" t="str">
            <v>INGA</v>
          </cell>
          <cell r="B217" t="str">
            <v>VAR_fout</v>
          </cell>
          <cell r="C217" t="str">
            <v>D-INGA</v>
          </cell>
          <cell r="I217">
            <v>12.809408348014363</v>
          </cell>
          <cell r="J217">
            <v>5.8700000152633054</v>
          </cell>
          <cell r="K217">
            <v>4.0076603991531918</v>
          </cell>
        </row>
        <row r="218">
          <cell r="A218" t="str">
            <v>DSL</v>
          </cell>
          <cell r="B218" t="str">
            <v>VAR_fout</v>
          </cell>
          <cell r="C218" t="str">
            <v>SUP_H2DSL</v>
          </cell>
          <cell r="J218">
            <v>2.9526935802981964E-3</v>
          </cell>
          <cell r="K218">
            <v>1.4522702432714278</v>
          </cell>
        </row>
        <row r="219">
          <cell r="A219" t="str">
            <v>WSTREN</v>
          </cell>
          <cell r="B219" t="str">
            <v>VAR_fin</v>
          </cell>
          <cell r="C219" t="str">
            <v>D-CWST</v>
          </cell>
          <cell r="I219">
            <v>13.220131364676449</v>
          </cell>
          <cell r="J219">
            <v>14.601625819624754</v>
          </cell>
          <cell r="K219">
            <v>17.096526142350701</v>
          </cell>
        </row>
        <row r="220">
          <cell r="A220" t="str">
            <v>SOLPVC</v>
          </cell>
          <cell r="B220" t="str">
            <v>VAR_fin</v>
          </cell>
          <cell r="C220" t="str">
            <v>ESOL-PV_A</v>
          </cell>
          <cell r="I220">
            <v>1.2719962140785599</v>
          </cell>
          <cell r="J220">
            <v>3.59999820001386</v>
          </cell>
          <cell r="K220">
            <v>4.1010591275894397</v>
          </cell>
        </row>
        <row r="221">
          <cell r="A221" t="str">
            <v>SOLPVC</v>
          </cell>
          <cell r="B221" t="str">
            <v>VAR_fin</v>
          </cell>
          <cell r="C221" t="str">
            <v>ESOL-PV_E</v>
          </cell>
          <cell r="I221">
            <v>1.8868787909898099E-3</v>
          </cell>
          <cell r="J221">
            <v>12.9220229697014</v>
          </cell>
          <cell r="K221">
            <v>12.9220186238029</v>
          </cell>
        </row>
        <row r="222">
          <cell r="A222" t="str">
            <v>KERintl</v>
          </cell>
          <cell r="B222" t="str">
            <v>VAR_fout</v>
          </cell>
          <cell r="C222" t="str">
            <v>SUP_H2DSL</v>
          </cell>
          <cell r="J222">
            <v>8.9976657616944698E-4</v>
          </cell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3.0449106273844189</v>
          </cell>
          <cell r="I8">
            <v>1.488598949582431</v>
          </cell>
          <cell r="J8">
            <v>0.108557539211677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6.2339607427027415E-3</v>
          </cell>
          <cell r="I9">
            <v>3.1212073186310169E-3</v>
          </cell>
          <cell r="J9">
            <v>2.3299197017467358E-4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5.3987777081284077E-2</v>
          </cell>
          <cell r="I10">
            <v>2.6393598396851629E-2</v>
          </cell>
          <cell r="J10">
            <v>1.9247790640368287E-3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9.8929160429553595E-5</v>
          </cell>
          <cell r="I11">
            <v>3.4391853727209901E-5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1.1908777649339001E-4</v>
          </cell>
          <cell r="I12">
            <v>8.2059359849750998E-5</v>
          </cell>
          <cell r="J12">
            <v>6.0353795112236503E-6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8.9061300872772531E-3</v>
          </cell>
          <cell r="I13">
            <v>5.0916809003740951E-3</v>
          </cell>
          <cell r="J13">
            <v>6.5375395092981381E-4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8.9061300872772531E-3</v>
          </cell>
          <cell r="I14">
            <v>5.0916809003740951E-3</v>
          </cell>
          <cell r="J14">
            <v>6.5375395092981381E-4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3.91486731239436E-4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1.3367149087464361E-3</v>
          </cell>
          <cell r="I16">
            <v>7.6643821426777641E-4</v>
          </cell>
          <cell r="J16">
            <v>9.7716591764240323E-5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1.1268081508979433</v>
          </cell>
          <cell r="I17">
            <v>1.4902729088522724</v>
          </cell>
          <cell r="J17">
            <v>2.7825837950916097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3.7419235304818677</v>
          </cell>
          <cell r="I18">
            <v>4.7664040418485527</v>
          </cell>
          <cell r="J18">
            <v>8.2224049240279804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1.47977138843529E-2</v>
          </cell>
          <cell r="I19">
            <v>1.79293745900693E-2</v>
          </cell>
          <cell r="J19">
            <v>5.11390428806777E-2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2.1578044833170957E-2</v>
          </cell>
          <cell r="I20">
            <v>2.8036010587285401E-2</v>
          </cell>
          <cell r="J20">
            <v>5.4285444377621297E-2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3.6840124513485971E-2</v>
          </cell>
          <cell r="I21">
            <v>2.0342483156298136E-2</v>
          </cell>
          <cell r="J21">
            <v>4.8452582832974531E-3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3.6840124513485971E-2</v>
          </cell>
          <cell r="I22">
            <v>2.0342483156298136E-2</v>
          </cell>
          <cell r="J22">
            <v>4.8452582832974531E-3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2.0282793341449101E-3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3.7700338460224681E-3</v>
          </cell>
          <cell r="I24">
            <v>2.1262396987515213E-3</v>
          </cell>
          <cell r="J24">
            <v>5.0632472301881675E-4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63.692950773399957</v>
          </cell>
          <cell r="I25">
            <v>77.622144213835924</v>
          </cell>
          <cell r="J25">
            <v>85.141253577856119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2.5385293838334899E-4</v>
          </cell>
          <cell r="I26">
            <v>5.0218978294609903E-2</v>
          </cell>
          <cell r="J26">
            <v>4.9983971256650099E-2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16.937230321857925</v>
          </cell>
          <cell r="I27">
            <v>25.959223596386515</v>
          </cell>
          <cell r="J27">
            <v>26.866788949227189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7.7013614761654841E-3</v>
          </cell>
          <cell r="I28">
            <v>4.6717043399566567</v>
          </cell>
          <cell r="J28">
            <v>7.1636832239812991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1.0463681440721386</v>
          </cell>
          <cell r="I29">
            <v>12.872440624735964</v>
          </cell>
          <cell r="J29">
            <v>15.742885172815624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45.70194416945138</v>
          </cell>
          <cell r="I30">
            <v>34.169045627978704</v>
          </cell>
          <cell r="J30">
            <v>35.417920777152133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10.236137970715715</v>
          </cell>
          <cell r="I31">
            <v>6.0444080796022543</v>
          </cell>
          <cell r="J31">
            <v>1.42251634920456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10.236137970715715</v>
          </cell>
          <cell r="I32">
            <v>6.0444080796022543</v>
          </cell>
          <cell r="J32">
            <v>1.42251634920456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0.43695791336165302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0.70387783999927866</v>
          </cell>
          <cell r="I34">
            <v>0.49375760492625331</v>
          </cell>
          <cell r="J34">
            <v>0.10908055554989785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9.6404248911038572E-3</v>
          </cell>
          <cell r="I35">
            <v>5.4479876319596327E-3</v>
          </cell>
          <cell r="J35">
            <v>6.5178221397028274E-4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9.6404248911038572E-3</v>
          </cell>
          <cell r="I36">
            <v>5.4479876319596327E-3</v>
          </cell>
          <cell r="J36">
            <v>6.5178221397028274E-4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3.9039656228305702E-4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1.4483554944418177E-3</v>
          </cell>
          <cell r="I38">
            <v>8.2064026714588764E-4</v>
          </cell>
          <cell r="J38">
            <v>9.7444349002780218E-5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4.8468104076312475E-2</v>
          </cell>
          <cell r="I39">
            <v>1.2964453731625747E-2</v>
          </cell>
          <cell r="J39">
            <v>2.3696802759738396E-3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4.8468104076312475E-2</v>
          </cell>
          <cell r="I40">
            <v>1.2964453731625747E-2</v>
          </cell>
          <cell r="J40">
            <v>2.3696802759738396E-3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1.00786550247633E-3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4.1194995075786453E-3</v>
          </cell>
          <cell r="I42">
            <v>1.4204724361497612E-3</v>
          </cell>
          <cell r="J42">
            <v>2.5159350058797774E-4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3.2104531757751235E-2</v>
          </cell>
          <cell r="I43">
            <v>2.2674980079483254E-2</v>
          </cell>
          <cell r="J43">
            <v>5.0678145659909931E-3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3.2104531757751235E-2</v>
          </cell>
          <cell r="I44">
            <v>2.2674980079483254E-2</v>
          </cell>
          <cell r="J44">
            <v>5.0678145659909931E-3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2.1232509005795E-3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3.3008530449940665E-3</v>
          </cell>
          <cell r="I46">
            <v>2.3724248285362853E-3</v>
          </cell>
          <cell r="J46">
            <v>5.3003301669327205E-4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0.26464029372828612</v>
          </cell>
          <cell r="I47">
            <v>0.28210271441651535</v>
          </cell>
          <cell r="J47">
            <v>0.31153966218277768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10.478985139484244</v>
          </cell>
          <cell r="I48">
            <v>11.17852857823766</v>
          </cell>
          <cell r="J48">
            <v>12.362879813989839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4.77488443091005E-4</v>
          </cell>
          <cell r="I49">
            <v>1.87577845574985E-4</v>
          </cell>
          <cell r="J49">
            <v>1.3990954722228101E-3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2.8415734344838647E-3</v>
          </cell>
          <cell r="I50">
            <v>3.0291512800588501E-3</v>
          </cell>
          <cell r="J50">
            <v>3.3452125211114198E-3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8.0995202029735278</v>
          </cell>
          <cell r="I51">
            <v>4.3246762084619164</v>
          </cell>
          <cell r="J51">
            <v>0.99026939712761886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8.0995202029735278</v>
          </cell>
          <cell r="I52">
            <v>4.3246762084619164</v>
          </cell>
          <cell r="J52">
            <v>0.99026939712761886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0.363756413312599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0.55695390492468988</v>
          </cell>
          <cell r="I54">
            <v>0.39536685759235335</v>
          </cell>
          <cell r="J54">
            <v>9.0806803013132611E-2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3.4119535016335661E-2</v>
          </cell>
          <cell r="I55">
            <v>1.4656101326359194E-2</v>
          </cell>
          <cell r="J55">
            <v>2.323920231760554E-3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3.4119535016335661E-2</v>
          </cell>
          <cell r="I56">
            <v>1.4656101326359194E-2</v>
          </cell>
          <cell r="J56">
            <v>2.323920231760554E-3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9.9256028525558995E-4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2.9008680439903136E-3</v>
          </cell>
          <cell r="I58">
            <v>1.6116653759168131E-3</v>
          </cell>
          <cell r="J58">
            <v>2.4777265921645014E-4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H59">
            <v>2.6777902798632452E-6</v>
          </cell>
          <cell r="I59">
            <v>3.0529702158840468E-7</v>
          </cell>
          <cell r="J59">
            <v>5.9049297398680506E-7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H60">
            <v>1.0880511811747847E-5</v>
          </cell>
          <cell r="I60">
            <v>1.2270650983037406E-6</v>
          </cell>
          <cell r="J60">
            <v>1.9459897307784088E-6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H61">
            <v>5.0378770518452201E-8</v>
          </cell>
          <cell r="I61">
            <v>3.0992090806650499E-8</v>
          </cell>
          <cell r="J61">
            <v>3.3682530340771797E-8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8.2843740465099604E-8</v>
          </cell>
          <cell r="I62">
            <v>5.9588145182553005E-8</v>
          </cell>
          <cell r="J62">
            <v>5.8066129565677497E-8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6.6402314431727215E-3</v>
          </cell>
          <cell r="I63">
            <v>3.3171366904715702E-3</v>
          </cell>
          <cell r="J63">
            <v>3.2714745496218155E-4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0.68664189415218901</v>
          </cell>
          <cell r="I64">
            <v>0.32701741361350622</v>
          </cell>
          <cell r="J64">
            <v>3.0993911624586798E-2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9.3040907066692258E-3</v>
          </cell>
          <cell r="I65">
            <v>4.4311302657656614E-3</v>
          </cell>
          <cell r="J65">
            <v>4.1997170223017385E-4</v>
          </cell>
        </row>
        <row r="66">
          <cell r="A66" t="str">
            <v>T_B_u-FCLH2O-S2</v>
          </cell>
          <cell r="B66" t="str">
            <v>VAR_fout</v>
          </cell>
          <cell r="C66" t="str">
            <v>TPBSu</v>
          </cell>
          <cell r="H66">
            <v>2.5111931577452749E-6</v>
          </cell>
        </row>
        <row r="67">
          <cell r="A67" t="str">
            <v>T_B_u-FCLH2O-S2</v>
          </cell>
          <cell r="B67" t="str">
            <v>VAR_fin</v>
          </cell>
          <cell r="C67" t="str">
            <v>TH2O</v>
          </cell>
          <cell r="H67">
            <v>1.4237170207255916E-5</v>
          </cell>
        </row>
        <row r="68">
          <cell r="A68" t="str">
            <v>T_B_u-FCLH2O-S2</v>
          </cell>
          <cell r="B68" t="str">
            <v>VAR_ncap</v>
          </cell>
          <cell r="C68" t="str">
            <v>-</v>
          </cell>
          <cell r="H68">
            <v>1.1344612813749299E-8</v>
          </cell>
          <cell r="J68">
            <v>1.5933131580084601E-8</v>
          </cell>
        </row>
        <row r="69">
          <cell r="A69" t="str">
            <v>T_B_u-FCLH2O-S2</v>
          </cell>
          <cell r="B69" t="str">
            <v>VAR_cap</v>
          </cell>
          <cell r="C69" t="str">
            <v>-</v>
          </cell>
          <cell r="H69">
            <v>1.1374175523006203E-8</v>
          </cell>
          <cell r="I69">
            <v>-1.8122270135006128E-12</v>
          </cell>
          <cell r="J69">
            <v>1.7923982212387E-8</v>
          </cell>
        </row>
        <row r="70">
          <cell r="A70" t="str">
            <v>T-Plg-GSL-mix_S2</v>
          </cell>
          <cell r="B70" t="str">
            <v>VAR_fout</v>
          </cell>
          <cell r="C70" t="str">
            <v>CO2_T</v>
          </cell>
          <cell r="H70">
            <v>3.2727027456698043</v>
          </cell>
          <cell r="I70">
            <v>1.4596312880508622</v>
          </cell>
          <cell r="J70">
            <v>0.23458057861302439</v>
          </cell>
        </row>
        <row r="71">
          <cell r="A71" t="str">
            <v>T-Plg-GSL-mix_S2</v>
          </cell>
          <cell r="B71" t="str">
            <v>VAR_fout</v>
          </cell>
          <cell r="C71" t="str">
            <v>T-PEVmix-ELC_GSL_S2</v>
          </cell>
          <cell r="H71">
            <v>2.5987217180654491E-2</v>
          </cell>
          <cell r="I71">
            <v>1.2244075149416405E-2</v>
          </cell>
          <cell r="J71">
            <v>2.0657911253386583E-3</v>
          </cell>
        </row>
        <row r="72">
          <cell r="A72" t="str">
            <v>T-Plg-GSL-mix_S2</v>
          </cell>
          <cell r="B72" t="str">
            <v>VAR_fin</v>
          </cell>
          <cell r="C72" t="str">
            <v>TGSL</v>
          </cell>
          <cell r="H72">
            <v>4.4345565659482486E-2</v>
          </cell>
          <cell r="I72">
            <v>1.9778201735106488E-2</v>
          </cell>
          <cell r="J72">
            <v>3.1785986261927473E-3</v>
          </cell>
        </row>
        <row r="73">
          <cell r="A73" t="str">
            <v>T_B_u-FCLH2O-S3</v>
          </cell>
          <cell r="B73" t="str">
            <v>VAR_fout</v>
          </cell>
          <cell r="C73" t="str">
            <v>TPBSu</v>
          </cell>
          <cell r="H73">
            <v>2.5543564876101567E-6</v>
          </cell>
          <cell r="J73">
            <v>4.8486316907495742E-6</v>
          </cell>
        </row>
        <row r="74">
          <cell r="A74" t="str">
            <v>T_B_u-FCLH2O-S3</v>
          </cell>
          <cell r="B74" t="str">
            <v>VAR_fin</v>
          </cell>
          <cell r="C74" t="str">
            <v>TH2O</v>
          </cell>
          <cell r="H74">
            <v>2.1769037139474839E-5</v>
          </cell>
          <cell r="J74">
            <v>3.4821498199993349E-5</v>
          </cell>
        </row>
        <row r="75">
          <cell r="A75" t="str">
            <v>T_B_u-FCLH2O-S3</v>
          </cell>
          <cell r="B75" t="str">
            <v>VAR_ncap</v>
          </cell>
          <cell r="C75" t="str">
            <v>-</v>
          </cell>
        </row>
        <row r="76">
          <cell r="A76" t="str">
            <v>T_B_u-FCLH2O-S3</v>
          </cell>
          <cell r="B76" t="str">
            <v>VAR_cap</v>
          </cell>
          <cell r="C76" t="str">
            <v>-</v>
          </cell>
          <cell r="H76">
            <v>1.4566925592287901E-8</v>
          </cell>
          <cell r="J76">
            <v>-1.5632693492121E-8</v>
          </cell>
        </row>
        <row r="77">
          <cell r="A77" t="str">
            <v>T-PHEV-STG_S1</v>
          </cell>
          <cell r="B77" t="str">
            <v>VAR_fout</v>
          </cell>
          <cell r="C77" t="str">
            <v>T-ELC-car-PlgSTGAUXout_S1</v>
          </cell>
          <cell r="H77">
            <v>9.9435457524881289E-3</v>
          </cell>
          <cell r="I77">
            <v>7.4863086384243053E-3</v>
          </cell>
          <cell r="J77">
            <v>1.2228658948377547E-3</v>
          </cell>
        </row>
        <row r="78">
          <cell r="A78" t="str">
            <v>T-PHEV-STG_S1</v>
          </cell>
          <cell r="B78" t="str">
            <v>VAR_fout</v>
          </cell>
          <cell r="C78" t="str">
            <v>T-ELC-car-PlgSTGOut_S1</v>
          </cell>
          <cell r="H78">
            <v>9.9435457524881254E-3</v>
          </cell>
          <cell r="I78">
            <v>7.4863086384243044E-3</v>
          </cell>
          <cell r="J78">
            <v>1.2228658948377545E-3</v>
          </cell>
        </row>
        <row r="79">
          <cell r="A79" t="str">
            <v>T-PHEV-STG_S1</v>
          </cell>
          <cell r="B79" t="str">
            <v>VAR_fin</v>
          </cell>
          <cell r="C79" t="str">
            <v>T-ELC-car-PlgSTGAUXin_S1</v>
          </cell>
          <cell r="H79">
            <v>9.9481473307535713E-3</v>
          </cell>
          <cell r="I79">
            <v>7.4921674368387189E-3</v>
          </cell>
          <cell r="J79">
            <v>1.2244310433550207E-3</v>
          </cell>
        </row>
        <row r="80">
          <cell r="A80" t="str">
            <v>T-PHEV-STG_S1</v>
          </cell>
          <cell r="B80" t="str">
            <v>VAR_fin</v>
          </cell>
          <cell r="C80" t="str">
            <v>T-ELC-car-PlgSTGin_S1</v>
          </cell>
          <cell r="H80">
            <v>9.9481473307535713E-3</v>
          </cell>
          <cell r="I80">
            <v>7.4921674368387189E-3</v>
          </cell>
          <cell r="J80">
            <v>1.2244310433550207E-3</v>
          </cell>
        </row>
        <row r="81">
          <cell r="A81" t="str">
            <v>T-PHEV-STG_S1</v>
          </cell>
          <cell r="B81" t="str">
            <v>VAR_ncap</v>
          </cell>
          <cell r="C81" t="str">
            <v>-</v>
          </cell>
          <cell r="H81">
            <v>3.4609108965416101E-2</v>
          </cell>
        </row>
        <row r="82">
          <cell r="A82" t="str">
            <v>T-PHEV-STG_S1</v>
          </cell>
          <cell r="B82" t="str">
            <v>VAR_cap</v>
          </cell>
          <cell r="C82" t="str">
            <v>-</v>
          </cell>
          <cell r="H82">
            <v>0.15481202322704835</v>
          </cell>
          <cell r="I82">
            <v>0.10883032236561031</v>
          </cell>
          <cell r="J82">
            <v>1.4618134894023482E-2</v>
          </cell>
        </row>
        <row r="83">
          <cell r="A83" t="str">
            <v>T-Plg-GSL-mix_S3</v>
          </cell>
          <cell r="B83" t="str">
            <v>VAR_fout</v>
          </cell>
          <cell r="C83" t="str">
            <v>CO2_T</v>
          </cell>
          <cell r="H83">
            <v>879.11087511678602</v>
          </cell>
          <cell r="I83">
            <v>401.63077679501788</v>
          </cell>
          <cell r="J83">
            <v>58.169444791731827</v>
          </cell>
        </row>
        <row r="84">
          <cell r="A84" t="str">
            <v>T-Plg-GSL-mix_S3</v>
          </cell>
          <cell r="B84" t="str">
            <v>VAR_fout</v>
          </cell>
          <cell r="C84" t="str">
            <v>T-PEVmix-ELC_GSL_S3</v>
          </cell>
          <cell r="H84">
            <v>6.4984702377242183</v>
          </cell>
          <cell r="I84">
            <v>3.1460351484606046</v>
          </cell>
          <cell r="J84">
            <v>0.48129287701147155</v>
          </cell>
        </row>
        <row r="85">
          <cell r="A85" t="str">
            <v>T-Plg-GSL-mix_S3</v>
          </cell>
          <cell r="B85" t="str">
            <v>VAR_fin</v>
          </cell>
          <cell r="C85" t="str">
            <v>TGSL</v>
          </cell>
          <cell r="H85">
            <v>11.912071478547231</v>
          </cell>
          <cell r="I85">
            <v>5.4421514470869683</v>
          </cell>
          <cell r="J85">
            <v>0.78820385896655676</v>
          </cell>
        </row>
        <row r="86">
          <cell r="A86" t="str">
            <v>T_B_u-FCLH2O-S4</v>
          </cell>
          <cell r="B86" t="str">
            <v>VAR_fout</v>
          </cell>
          <cell r="C86" t="str">
            <v>TPBSu</v>
          </cell>
          <cell r="J86">
            <v>9.5109266938040795E-8</v>
          </cell>
        </row>
        <row r="87">
          <cell r="A87" t="str">
            <v>T_B_u-FCLH2O-S4</v>
          </cell>
          <cell r="B87" t="str">
            <v>VAR_fin</v>
          </cell>
          <cell r="C87" t="str">
            <v>TH2O</v>
          </cell>
          <cell r="J87">
            <v>9.6603005117402504E-7</v>
          </cell>
        </row>
        <row r="88">
          <cell r="A88" t="str">
            <v>T_B_u-FCLH2O-S4</v>
          </cell>
          <cell r="B88" t="str">
            <v>VAR_ncap</v>
          </cell>
          <cell r="C88" t="str">
            <v>-</v>
          </cell>
        </row>
        <row r="89">
          <cell r="A89" t="str">
            <v>T_B_u-FCLH2O-S4</v>
          </cell>
          <cell r="B89" t="str">
            <v>VAR_cap</v>
          </cell>
          <cell r="C89" t="str">
            <v>-</v>
          </cell>
          <cell r="H89">
            <v>2.8824609537891199E-9</v>
          </cell>
          <cell r="I89">
            <v>-1.0497734000722299E-8</v>
          </cell>
          <cell r="J89">
            <v>-8.0971645972280508E-9</v>
          </cell>
        </row>
        <row r="90">
          <cell r="A90" t="str">
            <v>T-PHEV-STG_S2</v>
          </cell>
          <cell r="B90" t="str">
            <v>VAR_fout</v>
          </cell>
          <cell r="C90" t="str">
            <v>T-ELC-car-PlgSTGAUXout_S2</v>
          </cell>
          <cell r="H90">
            <v>1.3785901851150672E-2</v>
          </cell>
          <cell r="I90">
            <v>1.135534938501693E-2</v>
          </cell>
          <cell r="J90">
            <v>5.5150698494212556E-3</v>
          </cell>
        </row>
        <row r="91">
          <cell r="A91" t="str">
            <v>T-PHEV-STG_S2</v>
          </cell>
          <cell r="B91" t="str">
            <v>VAR_fout</v>
          </cell>
          <cell r="C91" t="str">
            <v>T-ELC-car-PlgSTGOut_S2</v>
          </cell>
          <cell r="H91">
            <v>1.3785901851150672E-2</v>
          </cell>
          <cell r="I91">
            <v>1.135534938501693E-2</v>
          </cell>
          <cell r="J91">
            <v>5.5150698494212556E-3</v>
          </cell>
        </row>
        <row r="92">
          <cell r="A92" t="str">
            <v>T-PHEV-STG_S2</v>
          </cell>
          <cell r="B92" t="str">
            <v>VAR_fin</v>
          </cell>
          <cell r="C92" t="str">
            <v>T-ELC-car-PlgSTGAUXin_S2</v>
          </cell>
          <cell r="H92">
            <v>1.3803031688410254E-2</v>
          </cell>
          <cell r="I92">
            <v>1.1368869493426539E-2</v>
          </cell>
          <cell r="J92">
            <v>5.5263826655589767E-3</v>
          </cell>
        </row>
        <row r="93">
          <cell r="A93" t="str">
            <v>T-PHEV-STG_S2</v>
          </cell>
          <cell r="B93" t="str">
            <v>VAR_fin</v>
          </cell>
          <cell r="C93" t="str">
            <v>T-ELC-car-PlgSTGin_S2</v>
          </cell>
          <cell r="H93">
            <v>1.3803031688410254E-2</v>
          </cell>
          <cell r="I93">
            <v>1.1368869493426539E-2</v>
          </cell>
          <cell r="J93">
            <v>5.5263826655589767E-3</v>
          </cell>
        </row>
        <row r="94">
          <cell r="A94" t="str">
            <v>T-PHEV-STG_S2</v>
          </cell>
          <cell r="B94" t="str">
            <v>VAR_ncap</v>
          </cell>
          <cell r="C94" t="str">
            <v>-</v>
          </cell>
          <cell r="H94">
            <v>6.5950835762352999E-2</v>
          </cell>
          <cell r="I94">
            <v>3.8067663736068201E-2</v>
          </cell>
          <cell r="J94">
            <v>1.6980220483312401E-2</v>
          </cell>
        </row>
        <row r="95">
          <cell r="A95" t="str">
            <v>T-PHEV-STG_S2</v>
          </cell>
          <cell r="B95" t="str">
            <v>VAR_cap</v>
          </cell>
          <cell r="C95" t="str">
            <v>-</v>
          </cell>
          <cell r="H95">
            <v>0.23441410794383297</v>
          </cell>
          <cell r="I95">
            <v>0.16395255541731601</v>
          </cell>
          <cell r="J95">
            <v>7.2437919943705284E-2</v>
          </cell>
        </row>
        <row r="96">
          <cell r="A96" t="str">
            <v>T-Plg-GSL-mix_S4</v>
          </cell>
          <cell r="B96" t="str">
            <v>VAR_fout</v>
          </cell>
          <cell r="C96" t="str">
            <v>CO2_T</v>
          </cell>
          <cell r="H96">
            <v>4.5246292674574349</v>
          </cell>
          <cell r="I96">
            <v>0.95989090378904096</v>
          </cell>
          <cell r="J96">
            <v>0.1148968677300163</v>
          </cell>
        </row>
        <row r="97">
          <cell r="A97" t="str">
            <v>T-Plg-GSL-mix_S4</v>
          </cell>
          <cell r="B97" t="str">
            <v>VAR_fout</v>
          </cell>
          <cell r="C97" t="str">
            <v>T-PEVmix-ELC_GSL_S4</v>
          </cell>
          <cell r="H97">
            <v>3.1865877819605294E-2</v>
          </cell>
          <cell r="I97">
            <v>7.1124450425760185E-3</v>
          </cell>
          <cell r="J97">
            <v>8.8795827900494946E-4</v>
          </cell>
        </row>
        <row r="98">
          <cell r="A98" t="str">
            <v>T-Plg-GSL-mix_S4</v>
          </cell>
          <cell r="B98" t="str">
            <v>VAR_fin</v>
          </cell>
          <cell r="C98" t="str">
            <v>TGSL</v>
          </cell>
          <cell r="H98">
            <v>6.1309339667445034E-2</v>
          </cell>
          <cell r="I98">
            <v>1.3006651812859642E-2</v>
          </cell>
          <cell r="J98">
            <v>1.5568681264229868E-3</v>
          </cell>
        </row>
        <row r="99">
          <cell r="A99" t="str">
            <v>T-PHEV-STG_S3</v>
          </cell>
          <cell r="B99" t="str">
            <v>VAR_fout</v>
          </cell>
          <cell r="C99" t="str">
            <v>T-ELC-car-PlgSTGAUXout_S3</v>
          </cell>
          <cell r="H99">
            <v>4.6008710301892064</v>
          </cell>
          <cell r="I99">
            <v>3.5148440750558341</v>
          </cell>
          <cell r="J99">
            <v>1.4388394389435237</v>
          </cell>
        </row>
        <row r="100">
          <cell r="A100" t="str">
            <v>T-PHEV-STG_S3</v>
          </cell>
          <cell r="B100" t="str">
            <v>VAR_fout</v>
          </cell>
          <cell r="C100" t="str">
            <v>T-ELC-car-PlgSTGOut_S3</v>
          </cell>
          <cell r="H100">
            <v>4.6008710301892064</v>
          </cell>
          <cell r="I100">
            <v>3.5148440750558336</v>
          </cell>
          <cell r="J100">
            <v>1.4388394389435235</v>
          </cell>
        </row>
        <row r="101">
          <cell r="A101" t="str">
            <v>T-PHEV-STG_S3</v>
          </cell>
          <cell r="B101" t="str">
            <v>VAR_fin</v>
          </cell>
          <cell r="C101" t="str">
            <v>T-ELC-car-PlgSTGAUXin_S3</v>
          </cell>
          <cell r="H101">
            <v>4.6013390989781344</v>
          </cell>
          <cell r="I101">
            <v>3.515200464232429</v>
          </cell>
          <cell r="J101">
            <v>1.4389851408391758</v>
          </cell>
        </row>
        <row r="102">
          <cell r="A102" t="str">
            <v>T-PHEV-STG_S3</v>
          </cell>
          <cell r="B102" t="str">
            <v>VAR_fin</v>
          </cell>
          <cell r="C102" t="str">
            <v>T-ELC-car-PlgSTGin_S3</v>
          </cell>
          <cell r="H102">
            <v>4.6013390989781344</v>
          </cell>
          <cell r="I102">
            <v>3.515200464232429</v>
          </cell>
          <cell r="J102">
            <v>1.4389851408391758</v>
          </cell>
        </row>
        <row r="103">
          <cell r="A103" t="str">
            <v>T-PHEV-STG_S3</v>
          </cell>
          <cell r="B103" t="str">
            <v>VAR_ncap</v>
          </cell>
          <cell r="C103" t="str">
            <v>-</v>
          </cell>
          <cell r="H103">
            <v>67.068299176272205</v>
          </cell>
        </row>
        <row r="104">
          <cell r="A104" t="str">
            <v>T-PHEV-STG_S3</v>
          </cell>
          <cell r="B104" t="str">
            <v>VAR_cap</v>
          </cell>
          <cell r="C104" t="str">
            <v>-</v>
          </cell>
          <cell r="H104">
            <v>121.87729594383042</v>
          </cell>
          <cell r="I104">
            <v>86.968302225755309</v>
          </cell>
          <cell r="J104">
            <v>23.275586330989903</v>
          </cell>
        </row>
        <row r="105">
          <cell r="A105" t="str">
            <v>TFLGV-HYBDSL</v>
          </cell>
          <cell r="B105" t="str">
            <v>VAR_fout</v>
          </cell>
          <cell r="C105" t="str">
            <v>CO2_T</v>
          </cell>
          <cell r="H105">
            <v>83.820305783537009</v>
          </cell>
          <cell r="I105">
            <v>7.2120577915197197</v>
          </cell>
        </row>
        <row r="106">
          <cell r="A106" t="str">
            <v>TFLGV-HYBDSL</v>
          </cell>
          <cell r="B106" t="str">
            <v>VAR_fout</v>
          </cell>
          <cell r="C106" t="str">
            <v>TFLGV</v>
          </cell>
          <cell r="H106">
            <v>0.52689877913744165</v>
          </cell>
          <cell r="I106">
            <v>4.5335368439645744E-2</v>
          </cell>
        </row>
        <row r="107">
          <cell r="A107" t="str">
            <v>TFLGV-HYBDSL</v>
          </cell>
          <cell r="B107" t="str">
            <v>VAR_fin</v>
          </cell>
          <cell r="C107" t="str">
            <v>TDSL</v>
          </cell>
          <cell r="H107">
            <v>1.1435239533906818</v>
          </cell>
          <cell r="I107">
            <v>9.8390965777895176E-2</v>
          </cell>
        </row>
        <row r="108">
          <cell r="A108" t="str">
            <v>TFLGV-HYBDSL</v>
          </cell>
          <cell r="B108" t="str">
            <v>VAR_ncap</v>
          </cell>
          <cell r="C108" t="str">
            <v>-</v>
          </cell>
        </row>
        <row r="109">
          <cell r="A109" t="str">
            <v>TFLGV-HYBDSL</v>
          </cell>
          <cell r="B109" t="str">
            <v>VAR_cap</v>
          </cell>
          <cell r="C109" t="str">
            <v>-</v>
          </cell>
          <cell r="H109">
            <v>5.0003541838089929E-2</v>
          </cell>
          <cell r="I109">
            <v>4.5073498714288795E-3</v>
          </cell>
        </row>
        <row r="110">
          <cell r="A110" t="str">
            <v>TFHGV-FCLH2O</v>
          </cell>
          <cell r="B110" t="str">
            <v>VAR_fout</v>
          </cell>
          <cell r="C110" t="str">
            <v>TFHGV</v>
          </cell>
          <cell r="H110">
            <v>1.3242881453708679E-4</v>
          </cell>
          <cell r="I110">
            <v>1.3625234812435298E-4</v>
          </cell>
          <cell r="J110">
            <v>1.2249738343252068E-4</v>
          </cell>
        </row>
        <row r="111">
          <cell r="A111" t="str">
            <v>TFHGV-FCLH2O</v>
          </cell>
          <cell r="B111" t="str">
            <v>VAR_fin</v>
          </cell>
          <cell r="C111" t="str">
            <v>TH2O</v>
          </cell>
          <cell r="H111">
            <v>6.823838754697677E-4</v>
          </cell>
          <cell r="I111">
            <v>6.872857047372778E-4</v>
          </cell>
          <cell r="J111">
            <v>5.6297117770585979E-4</v>
          </cell>
        </row>
        <row r="112">
          <cell r="A112" t="str">
            <v>TFHGV-FCLH2O</v>
          </cell>
          <cell r="B112" t="str">
            <v>VAR_ncap</v>
          </cell>
          <cell r="C112" t="str">
            <v>-</v>
          </cell>
          <cell r="H112">
            <v>2.6033224015355099E-6</v>
          </cell>
          <cell r="I112">
            <v>1.1203919967140201E-6</v>
          </cell>
          <cell r="J112">
            <v>2.4396795277760102E-6</v>
          </cell>
        </row>
        <row r="113">
          <cell r="A113" t="str">
            <v>TFHGV-FCLH2O</v>
          </cell>
          <cell r="B113" t="str">
            <v>VAR_cap</v>
          </cell>
          <cell r="C113" t="str">
            <v>-</v>
          </cell>
          <cell r="H113">
            <v>2.8364404426803199E-6</v>
          </cell>
          <cell r="I113">
            <v>2.7459194403497289E-6</v>
          </cell>
          <cell r="J113">
            <v>2.6362955914270599E-6</v>
          </cell>
        </row>
        <row r="114">
          <cell r="A114" t="str">
            <v>T-PHEV-STG_S4</v>
          </cell>
          <cell r="B114" t="str">
            <v>VAR_fout</v>
          </cell>
          <cell r="C114" t="str">
            <v>T-ELC-car-PlgSTGAUXout_S4</v>
          </cell>
          <cell r="H114">
            <v>2.6613532010162973E-2</v>
          </cell>
          <cell r="I114">
            <v>1.9886679964109359E-2</v>
          </cell>
          <cell r="J114">
            <v>4.5215076712699417E-3</v>
          </cell>
        </row>
        <row r="115">
          <cell r="A115" t="str">
            <v>T-PHEV-STG_S4</v>
          </cell>
          <cell r="B115" t="str">
            <v>VAR_fout</v>
          </cell>
          <cell r="C115" t="str">
            <v>T-ELC-car-PlgSTGOut_S4</v>
          </cell>
          <cell r="H115">
            <v>2.6613532010162966E-2</v>
          </cell>
          <cell r="I115">
            <v>1.9886679964109359E-2</v>
          </cell>
          <cell r="J115">
            <v>4.5215076712699417E-3</v>
          </cell>
        </row>
        <row r="116">
          <cell r="A116" t="str">
            <v>T-PHEV-STG_S4</v>
          </cell>
          <cell r="B116" t="str">
            <v>VAR_fin</v>
          </cell>
          <cell r="C116" t="str">
            <v>T-ELC-car-PlgSTGAUXin_S4</v>
          </cell>
          <cell r="H116">
            <v>2.6624129302863384E-2</v>
          </cell>
          <cell r="I116">
            <v>1.9893658686196459E-2</v>
          </cell>
          <cell r="J116">
            <v>4.5237033106414384E-3</v>
          </cell>
        </row>
        <row r="117">
          <cell r="A117" t="str">
            <v>T-PHEV-STG_S4</v>
          </cell>
          <cell r="B117" t="str">
            <v>VAR_fin</v>
          </cell>
          <cell r="C117" t="str">
            <v>T-ELC-car-PlgSTGin_S4</v>
          </cell>
          <cell r="H117">
            <v>2.6624129302863384E-2</v>
          </cell>
          <cell r="I117">
            <v>1.9893658686196459E-2</v>
          </cell>
          <cell r="J117">
            <v>4.5237033106414384E-3</v>
          </cell>
        </row>
        <row r="118">
          <cell r="A118" t="str">
            <v>T-PHEV-STG_S4</v>
          </cell>
          <cell r="B118" t="str">
            <v>VAR_ncap</v>
          </cell>
          <cell r="C118" t="str">
            <v>-</v>
          </cell>
          <cell r="H118">
            <v>0.16870464359993001</v>
          </cell>
        </row>
        <row r="119">
          <cell r="A119" t="str">
            <v>T-PHEV-STG_S4</v>
          </cell>
          <cell r="B119" t="str">
            <v>VAR_cap</v>
          </cell>
          <cell r="C119" t="str">
            <v>-</v>
          </cell>
          <cell r="H119">
            <v>0.5479931524424434</v>
          </cell>
          <cell r="I119">
            <v>0.37441384877759287</v>
          </cell>
          <cell r="J119">
            <v>7.1229280775303258E-2</v>
          </cell>
        </row>
        <row r="120">
          <cell r="A120" t="str">
            <v>TFLGV-ICEGSLExt</v>
          </cell>
          <cell r="B120" t="str">
            <v>VAR_fout</v>
          </cell>
          <cell r="C120" t="str">
            <v>CO2_T</v>
          </cell>
        </row>
        <row r="121">
          <cell r="A121" t="str">
            <v>TFLGV-ICEGSLExt</v>
          </cell>
          <cell r="B121" t="str">
            <v>VAR_fout</v>
          </cell>
          <cell r="C121" t="str">
            <v>TFLGV</v>
          </cell>
        </row>
        <row r="122">
          <cell r="A122" t="str">
            <v>TFLGV-ICEGSLExt</v>
          </cell>
          <cell r="B122" t="str">
            <v>VAR_fin</v>
          </cell>
          <cell r="C122" t="str">
            <v>TGSL</v>
          </cell>
        </row>
        <row r="123">
          <cell r="A123" t="str">
            <v>TFLGV-ICEGSLExt</v>
          </cell>
          <cell r="B123" t="str">
            <v>VAR_cap</v>
          </cell>
          <cell r="C123" t="str">
            <v>-</v>
          </cell>
        </row>
        <row r="124">
          <cell r="A124" t="str">
            <v>TFRLFELCEXT</v>
          </cell>
          <cell r="B124" t="str">
            <v>VAR_fout</v>
          </cell>
          <cell r="C124" t="str">
            <v>TFRLF</v>
          </cell>
          <cell r="H124">
            <v>3.3097422088981268E-2</v>
          </cell>
          <cell r="I124">
            <v>3.3878948697269248E-2</v>
          </cell>
          <cell r="J124">
            <v>3.642183255396237E-2</v>
          </cell>
        </row>
        <row r="125">
          <cell r="A125" t="str">
            <v>TFRLFELCEXT</v>
          </cell>
          <cell r="B125" t="str">
            <v>VAR_fin</v>
          </cell>
          <cell r="C125" t="str">
            <v>TELC</v>
          </cell>
          <cell r="H125">
            <v>1.9814031519012172</v>
          </cell>
          <cell r="I125">
            <v>2.0281898557355329</v>
          </cell>
          <cell r="J125">
            <v>2.1804215937550313</v>
          </cell>
        </row>
        <row r="126">
          <cell r="A126" t="str">
            <v>TFRLFELCEXT</v>
          </cell>
          <cell r="B126" t="str">
            <v>VAR_ncap</v>
          </cell>
          <cell r="C126" t="str">
            <v>-</v>
          </cell>
          <cell r="H126">
            <v>1.34261641937217E-4</v>
          </cell>
          <cell r="I126">
            <v>7.2120798548658805E-5</v>
          </cell>
          <cell r="J126">
            <v>1.4956930605985899E-3</v>
          </cell>
        </row>
        <row r="127">
          <cell r="A127" t="str">
            <v>TFRLFELCEXT</v>
          </cell>
          <cell r="B127" t="str">
            <v>VAR_cap</v>
          </cell>
          <cell r="C127" t="str">
            <v>-</v>
          </cell>
          <cell r="H127">
            <v>3.0555511367814357E-3</v>
          </cell>
          <cell r="I127">
            <v>3.1276719353300949E-3</v>
          </cell>
          <cell r="J127">
            <v>3.3623971894134099E-3</v>
          </cell>
        </row>
        <row r="128">
          <cell r="A128" t="str">
            <v>TFLGV-ICEDSLExt</v>
          </cell>
          <cell r="B128" t="str">
            <v>VAR_fout</v>
          </cell>
          <cell r="C128" t="str">
            <v>CO2_T</v>
          </cell>
        </row>
        <row r="129">
          <cell r="A129" t="str">
            <v>TFLGV-ICEDSLExt</v>
          </cell>
          <cell r="B129" t="str">
            <v>VAR_fout</v>
          </cell>
          <cell r="C129" t="str">
            <v>TFLGV</v>
          </cell>
        </row>
        <row r="130">
          <cell r="A130" t="str">
            <v>TFLGV-ICEDSLExt</v>
          </cell>
          <cell r="B130" t="str">
            <v>VAR_fin</v>
          </cell>
          <cell r="C130" t="str">
            <v>TDSL</v>
          </cell>
        </row>
        <row r="131">
          <cell r="A131" t="str">
            <v>TFLGV-ICEDSLExt</v>
          </cell>
          <cell r="B131" t="str">
            <v>VAR_cap</v>
          </cell>
          <cell r="C131" t="str">
            <v>-</v>
          </cell>
        </row>
        <row r="132">
          <cell r="A132" t="str">
            <v>T_C-ICE-NGA-S1</v>
          </cell>
          <cell r="B132" t="str">
            <v>VAR_fout</v>
          </cell>
          <cell r="C132" t="str">
            <v>CO2_T</v>
          </cell>
          <cell r="H132">
            <v>3.7431443737565545E-2</v>
          </cell>
          <cell r="I132">
            <v>1.3387325047269229E-2</v>
          </cell>
        </row>
        <row r="133">
          <cell r="A133" t="str">
            <v>T_C-ICE-NGA-S1</v>
          </cell>
          <cell r="B133" t="str">
            <v>VAR_fout</v>
          </cell>
          <cell r="C133" t="str">
            <v>TPCAR</v>
          </cell>
          <cell r="H133">
            <v>3.7315663924233959E-4</v>
          </cell>
          <cell r="I133">
            <v>1.3262937175490051E-4</v>
          </cell>
        </row>
        <row r="134">
          <cell r="A134" t="str">
            <v>T_C-ICE-NGA-S1</v>
          </cell>
          <cell r="B134" t="str">
            <v>VAR_fin</v>
          </cell>
          <cell r="C134" t="str">
            <v>TNGA</v>
          </cell>
          <cell r="H134">
            <v>6.6367808045329009E-4</v>
          </cell>
          <cell r="I134">
            <v>2.3736391927782347E-4</v>
          </cell>
        </row>
        <row r="135">
          <cell r="A135" t="str">
            <v>T_C-ICE-NGA-S1</v>
          </cell>
          <cell r="B135" t="str">
            <v>VAR_ncap</v>
          </cell>
          <cell r="C135" t="str">
            <v>-</v>
          </cell>
        </row>
        <row r="136">
          <cell r="A136" t="str">
            <v>T_C-ICE-NGA-S1</v>
          </cell>
          <cell r="B136" t="str">
            <v>VAR_cap</v>
          </cell>
          <cell r="C136" t="str">
            <v>-</v>
          </cell>
          <cell r="H136">
            <v>5.1269200172337215E-5</v>
          </cell>
          <cell r="I136">
            <v>1.8552674261441874E-5</v>
          </cell>
        </row>
        <row r="137">
          <cell r="A137" t="str">
            <v>D-T-ELC-car</v>
          </cell>
          <cell r="B137" t="str">
            <v>VAR_fout</v>
          </cell>
          <cell r="C137" t="str">
            <v>T-ELC-car</v>
          </cell>
          <cell r="H137">
            <v>37.607495858835179</v>
          </cell>
          <cell r="I137">
            <v>45.565596169415613</v>
          </cell>
          <cell r="J137">
            <v>45.136872611996957</v>
          </cell>
        </row>
        <row r="138">
          <cell r="A138" t="str">
            <v>D-T-ELC-car</v>
          </cell>
          <cell r="B138" t="str">
            <v>VAR_fin</v>
          </cell>
          <cell r="C138" t="str">
            <v>TELC</v>
          </cell>
          <cell r="H138">
            <v>37.607495858835179</v>
          </cell>
          <cell r="I138">
            <v>45.565596169415613</v>
          </cell>
          <cell r="J138">
            <v>45.136872611996957</v>
          </cell>
        </row>
        <row r="139">
          <cell r="A139" t="str">
            <v>D-T-ELC-car</v>
          </cell>
          <cell r="B139" t="str">
            <v>VAR_ncap</v>
          </cell>
          <cell r="C139" t="str">
            <v>-</v>
          </cell>
          <cell r="H139">
            <v>16.576692024207599</v>
          </cell>
          <cell r="I139">
            <v>15.5770637930489</v>
          </cell>
          <cell r="J139">
            <v>29.990309107173101</v>
          </cell>
        </row>
        <row r="140">
          <cell r="A140" t="str">
            <v>D-T-ELC-car</v>
          </cell>
          <cell r="B140" t="str">
            <v>VAR_cap</v>
          </cell>
          <cell r="C140" t="str">
            <v>-</v>
          </cell>
          <cell r="H140">
            <v>27.058842439378505</v>
          </cell>
          <cell r="I140">
            <v>38.569152209859404</v>
          </cell>
          <cell r="J140">
            <v>48.306958568546001</v>
          </cell>
        </row>
        <row r="141">
          <cell r="A141" t="str">
            <v>T_C-ICE-NGA-S2</v>
          </cell>
          <cell r="B141" t="str">
            <v>VAR_fout</v>
          </cell>
          <cell r="C141" t="str">
            <v>CO2_T</v>
          </cell>
          <cell r="H141">
            <v>0.15732205735017718</v>
          </cell>
          <cell r="I141">
            <v>1.4076078306239101E-2</v>
          </cell>
        </row>
        <row r="142">
          <cell r="A142" t="str">
            <v>T_C-ICE-NGA-S2</v>
          </cell>
          <cell r="B142" t="str">
            <v>VAR_fout</v>
          </cell>
          <cell r="C142" t="str">
            <v>TPCAR</v>
          </cell>
          <cell r="H142">
            <v>1.4865205967174305E-3</v>
          </cell>
          <cell r="I142">
            <v>1.1178815354868354E-4</v>
          </cell>
        </row>
        <row r="143">
          <cell r="A143" t="str">
            <v>T_C-ICE-NGA-S2</v>
          </cell>
          <cell r="B143" t="str">
            <v>VAR_fin</v>
          </cell>
          <cell r="C143" t="str">
            <v>TNGA</v>
          </cell>
          <cell r="H143">
            <v>2.7893981799676799E-3</v>
          </cell>
          <cell r="I143">
            <v>2.4957585649360183E-4</v>
          </cell>
        </row>
        <row r="144">
          <cell r="A144" t="str">
            <v>T_C-ICE-NGA-S2</v>
          </cell>
          <cell r="B144" t="str">
            <v>VAR_ncap</v>
          </cell>
          <cell r="C144" t="str">
            <v>-</v>
          </cell>
        </row>
        <row r="145">
          <cell r="A145" t="str">
            <v>T_C-ICE-NGA-S2</v>
          </cell>
          <cell r="B145" t="str">
            <v>VAR_cap</v>
          </cell>
          <cell r="C145" t="str">
            <v>-</v>
          </cell>
          <cell r="H145">
            <v>1.2881692226111917E-4</v>
          </cell>
          <cell r="I145">
            <v>9.9113298143135202E-6</v>
          </cell>
        </row>
        <row r="146">
          <cell r="A146" t="str">
            <v>TFLGV-ICEDSL</v>
          </cell>
          <cell r="B146" t="str">
            <v>VAR_fout</v>
          </cell>
          <cell r="C146" t="str">
            <v>CO2_T</v>
          </cell>
          <cell r="H146">
            <v>0.54379656632556794</v>
          </cell>
          <cell r="I146">
            <v>5.1806751376201499E-2</v>
          </cell>
        </row>
        <row r="147">
          <cell r="A147" t="str">
            <v>TFLGV-ICEDSL</v>
          </cell>
          <cell r="B147" t="str">
            <v>VAR_fout</v>
          </cell>
          <cell r="C147" t="str">
            <v>TFLGV</v>
          </cell>
          <cell r="H147">
            <v>2.5380722741365552E-3</v>
          </cell>
          <cell r="I147">
            <v>2.4179865674676048E-4</v>
          </cell>
        </row>
        <row r="148">
          <cell r="A148" t="str">
            <v>TFLGV-ICEDSL</v>
          </cell>
          <cell r="B148" t="str">
            <v>VAR_fin</v>
          </cell>
          <cell r="C148" t="str">
            <v>TDSL</v>
          </cell>
          <cell r="H148">
            <v>7.4187798953010602E-3</v>
          </cell>
          <cell r="I148">
            <v>7.0677696284040235E-4</v>
          </cell>
        </row>
        <row r="149">
          <cell r="A149" t="str">
            <v>TFLGV-ICEDSL</v>
          </cell>
          <cell r="B149" t="str">
            <v>VAR_ncap</v>
          </cell>
          <cell r="C149" t="str">
            <v>-</v>
          </cell>
        </row>
        <row r="150">
          <cell r="A150" t="str">
            <v>TFLGV-ICEDSL</v>
          </cell>
          <cell r="B150" t="str">
            <v>VAR_cap</v>
          </cell>
          <cell r="C150" t="str">
            <v>-</v>
          </cell>
          <cell r="H150">
            <v>2.288405668232681E-4</v>
          </cell>
          <cell r="I150">
            <v>2.2244171797216599E-5</v>
          </cell>
        </row>
        <row r="151">
          <cell r="A151" t="str">
            <v>T_C-ICE-NGA-S3</v>
          </cell>
          <cell r="B151" t="str">
            <v>VAR_fout</v>
          </cell>
          <cell r="C151" t="str">
            <v>CO2_T</v>
          </cell>
          <cell r="H151">
            <v>0.12512418337584258</v>
          </cell>
          <cell r="I151">
            <v>2.4714716450138091E-2</v>
          </cell>
        </row>
        <row r="152">
          <cell r="A152" t="str">
            <v>T_C-ICE-NGA-S3</v>
          </cell>
          <cell r="B152" t="str">
            <v>VAR_fout</v>
          </cell>
          <cell r="C152" t="str">
            <v>TPCAR</v>
          </cell>
          <cell r="H152">
            <v>1.0690091600120638E-3</v>
          </cell>
          <cell r="I152">
            <v>1.9987709240591858E-4</v>
          </cell>
        </row>
        <row r="153">
          <cell r="A153" t="str">
            <v>T_C-ICE-NGA-S3</v>
          </cell>
          <cell r="B153" t="str">
            <v>VAR_fin</v>
          </cell>
          <cell r="C153" t="str">
            <v>TNGA</v>
          </cell>
          <cell r="H153">
            <v>2.2185138896425984E-3</v>
          </cell>
          <cell r="I153">
            <v>4.3820419237833373E-4</v>
          </cell>
        </row>
        <row r="154">
          <cell r="A154" t="str">
            <v>T_C-ICE-NGA-S3</v>
          </cell>
          <cell r="B154" t="str">
            <v>VAR_ncap</v>
          </cell>
          <cell r="C154" t="str">
            <v>-</v>
          </cell>
        </row>
        <row r="155">
          <cell r="A155" t="str">
            <v>T_C-ICE-NGA-S3</v>
          </cell>
          <cell r="B155" t="str">
            <v>VAR_cap</v>
          </cell>
          <cell r="C155" t="str">
            <v>-</v>
          </cell>
          <cell r="H155">
            <v>7.7443621694398338E-5</v>
          </cell>
          <cell r="I155">
            <v>1.6247636345870476E-5</v>
          </cell>
        </row>
        <row r="156">
          <cell r="A156" t="str">
            <v>T_C-ICE-NGA-S4</v>
          </cell>
          <cell r="B156" t="str">
            <v>VAR_fout</v>
          </cell>
          <cell r="C156" t="str">
            <v>CO2_T</v>
          </cell>
          <cell r="H156">
            <v>0.44915996569507516</v>
          </cell>
          <cell r="I156">
            <v>2.9013270662969583E-2</v>
          </cell>
        </row>
        <row r="157">
          <cell r="A157" t="str">
            <v>T_C-ICE-NGA-S4</v>
          </cell>
          <cell r="B157" t="str">
            <v>VAR_fout</v>
          </cell>
          <cell r="C157" t="str">
            <v>TPCAR</v>
          </cell>
          <cell r="H157">
            <v>4.8955142681646018E-3</v>
          </cell>
          <cell r="I157">
            <v>2.2464207638442975E-4</v>
          </cell>
        </row>
        <row r="158">
          <cell r="A158" t="str">
            <v>T_C-ICE-NGA-S4</v>
          </cell>
          <cell r="B158" t="str">
            <v>VAR_fin</v>
          </cell>
          <cell r="C158" t="str">
            <v>TNGA</v>
          </cell>
          <cell r="H158">
            <v>7.9638291789906907E-3</v>
          </cell>
          <cell r="I158">
            <v>5.1441969260584345E-4</v>
          </cell>
        </row>
        <row r="159">
          <cell r="A159" t="str">
            <v>T_C-ICE-NGA-S4</v>
          </cell>
          <cell r="B159" t="str">
            <v>VAR_ncap</v>
          </cell>
          <cell r="C159" t="str">
            <v>-</v>
          </cell>
        </row>
        <row r="160">
          <cell r="A160" t="str">
            <v>T_C-ICE-NGA-S4</v>
          </cell>
          <cell r="B160" t="str">
            <v>VAR_cap</v>
          </cell>
          <cell r="C160" t="str">
            <v>-</v>
          </cell>
          <cell r="H160">
            <v>4.041107673310668E-4</v>
          </cell>
          <cell r="I160">
            <v>2.1874960595101402E-5</v>
          </cell>
        </row>
        <row r="161">
          <cell r="A161" t="str">
            <v>T_C-MHY-GSL-S1</v>
          </cell>
          <cell r="B161" t="str">
            <v>VAR_fout</v>
          </cell>
          <cell r="C161" t="str">
            <v>CO2_T</v>
          </cell>
          <cell r="H161">
            <v>8.0559251941717105E-2</v>
          </cell>
          <cell r="I161">
            <v>2.2685112834125318E-2</v>
          </cell>
        </row>
        <row r="162">
          <cell r="A162" t="str">
            <v>T_C-MHY-GSL-S1</v>
          </cell>
          <cell r="B162" t="str">
            <v>VAR_fout</v>
          </cell>
          <cell r="C162" t="str">
            <v>TPCAR</v>
          </cell>
          <cell r="H162">
            <v>6.2557568886879356E-4</v>
          </cell>
          <cell r="I162">
            <v>1.8359712122450333E-4</v>
          </cell>
        </row>
        <row r="163">
          <cell r="A163" t="str">
            <v>T_C-MHY-GSL-S1</v>
          </cell>
          <cell r="B163" t="str">
            <v>VAR_fin</v>
          </cell>
          <cell r="C163" t="str">
            <v>TGSL</v>
          </cell>
          <cell r="H163">
            <v>1.0915887796980645E-3</v>
          </cell>
          <cell r="I163">
            <v>3.0738635276592513E-4</v>
          </cell>
        </row>
        <row r="164">
          <cell r="A164" t="str">
            <v>T_C-MHY-GSL-S1</v>
          </cell>
          <cell r="B164" t="str">
            <v>VAR_ncap</v>
          </cell>
          <cell r="C164" t="str">
            <v>-</v>
          </cell>
        </row>
        <row r="165">
          <cell r="A165" t="str">
            <v>T_C-MHY-GSL-S1</v>
          </cell>
          <cell r="B165" t="str">
            <v>VAR_cap</v>
          </cell>
          <cell r="C165" t="str">
            <v>-</v>
          </cell>
          <cell r="H165">
            <v>8.8028319555807994E-5</v>
          </cell>
          <cell r="I165">
            <v>2.5650924595465E-5</v>
          </cell>
        </row>
        <row r="166">
          <cell r="A166" t="str">
            <v>T_TRLY_ELC</v>
          </cell>
          <cell r="B166" t="str">
            <v>VAR_fout</v>
          </cell>
          <cell r="C166" t="str">
            <v>TPTRLY</v>
          </cell>
          <cell r="H166">
            <v>3.5430339576353206E-2</v>
          </cell>
          <cell r="I166">
            <v>3.6850168437031892E-2</v>
          </cell>
          <cell r="J166">
            <v>3.9116362409932708E-2</v>
          </cell>
        </row>
        <row r="167">
          <cell r="A167" t="str">
            <v>T_TRLY_ELC</v>
          </cell>
          <cell r="B167" t="str">
            <v>VAR_fin</v>
          </cell>
          <cell r="C167" t="str">
            <v>TELC</v>
          </cell>
          <cell r="H167">
            <v>0.52290182563255883</v>
          </cell>
          <cell r="I167">
            <v>0.54385649646586365</v>
          </cell>
          <cell r="J167">
            <v>0.57730232227042932</v>
          </cell>
        </row>
        <row r="168">
          <cell r="A168" t="str">
            <v>T_C-MHY-GSL-S2</v>
          </cell>
          <cell r="B168" t="str">
            <v>VAR_fout</v>
          </cell>
          <cell r="C168" t="str">
            <v>CO2_T</v>
          </cell>
          <cell r="H168">
            <v>8.3816203062653111E-2</v>
          </cell>
          <cell r="I168">
            <v>2.0684074241929029E-2</v>
          </cell>
        </row>
        <row r="169">
          <cell r="A169" t="str">
            <v>T_C-MHY-GSL-S2</v>
          </cell>
          <cell r="B169" t="str">
            <v>VAR_fout</v>
          </cell>
          <cell r="C169" t="str">
            <v>TPCAR</v>
          </cell>
          <cell r="H169">
            <v>5.2312573376709661E-4</v>
          </cell>
          <cell r="I169">
            <v>1.3462091823062192E-4</v>
          </cell>
        </row>
        <row r="170">
          <cell r="A170" t="str">
            <v>T_C-MHY-GSL-S2</v>
          </cell>
          <cell r="B170" t="str">
            <v>VAR_fin</v>
          </cell>
          <cell r="C170" t="str">
            <v>TGSL</v>
          </cell>
          <cell r="H170">
            <v>1.1357209087080357E-3</v>
          </cell>
          <cell r="I170">
            <v>2.8027200869822571E-4</v>
          </cell>
        </row>
        <row r="171">
          <cell r="A171" t="str">
            <v>T_C-MHY-GSL-S2</v>
          </cell>
          <cell r="B171" t="str">
            <v>VAR_ncap</v>
          </cell>
          <cell r="C171" t="str">
            <v>-</v>
          </cell>
        </row>
        <row r="172">
          <cell r="A172" t="str">
            <v>T_C-MHY-GSL-S2</v>
          </cell>
          <cell r="B172" t="str">
            <v>VAR_cap</v>
          </cell>
          <cell r="C172" t="str">
            <v>-</v>
          </cell>
          <cell r="H172">
            <v>4.6060418906348902E-5</v>
          </cell>
          <cell r="I172">
            <v>1.20752906405251E-5</v>
          </cell>
        </row>
        <row r="173">
          <cell r="A173" t="str">
            <v>T_C-MHY-DSL-S1</v>
          </cell>
          <cell r="B173" t="str">
            <v>VAR_fout</v>
          </cell>
          <cell r="C173" t="str">
            <v>CO2_T</v>
          </cell>
          <cell r="H173">
            <v>6.0615580796697266E-2</v>
          </cell>
          <cell r="I173">
            <v>1.6672815016130028E-2</v>
          </cell>
        </row>
        <row r="174">
          <cell r="A174" t="str">
            <v>T_C-MHY-DSL-S1</v>
          </cell>
          <cell r="B174" t="str">
            <v>VAR_fout</v>
          </cell>
          <cell r="C174" t="str">
            <v>TPCAR</v>
          </cell>
          <cell r="H174">
            <v>5.0418848680437061E-4</v>
          </cell>
          <cell r="I174">
            <v>1.4374012026541476E-4</v>
          </cell>
        </row>
        <row r="175">
          <cell r="A175" t="str">
            <v>T_C-MHY-DSL-S1</v>
          </cell>
          <cell r="B175" t="str">
            <v>VAR_fin</v>
          </cell>
          <cell r="C175" t="str">
            <v>TDSL</v>
          </cell>
          <cell r="H175">
            <v>8.2695198904089132E-4</v>
          </cell>
          <cell r="I175">
            <v>2.2745995929236048E-4</v>
          </cell>
        </row>
        <row r="176">
          <cell r="A176" t="str">
            <v>T_C-MHY-DSL-S1</v>
          </cell>
          <cell r="B176" t="str">
            <v>VAR_ncap</v>
          </cell>
          <cell r="C176" t="str">
            <v>-</v>
          </cell>
        </row>
        <row r="177">
          <cell r="A177" t="str">
            <v>T_C-MHY-DSL-S1</v>
          </cell>
          <cell r="B177" t="str">
            <v>VAR_cap</v>
          </cell>
          <cell r="C177" t="str">
            <v>-</v>
          </cell>
          <cell r="H177">
            <v>6.9967099785069994E-5</v>
          </cell>
          <cell r="I177">
            <v>1.9791240072683901E-5</v>
          </cell>
        </row>
        <row r="178">
          <cell r="A178" t="str">
            <v>T_C-MHY-GSL-S3</v>
          </cell>
          <cell r="B178" t="str">
            <v>VAR_fout</v>
          </cell>
          <cell r="C178" t="str">
            <v>CO2_T</v>
          </cell>
          <cell r="H178">
            <v>8.8676876545532898E-2</v>
          </cell>
          <cell r="I178">
            <v>1.995374463540368E-2</v>
          </cell>
        </row>
        <row r="179">
          <cell r="A179" t="str">
            <v>T_C-MHY-GSL-S3</v>
          </cell>
          <cell r="B179" t="str">
            <v>VAR_fout</v>
          </cell>
          <cell r="C179" t="str">
            <v>TPCAR</v>
          </cell>
          <cell r="H179">
            <v>5.1158666181528093E-4</v>
          </cell>
          <cell r="I179">
            <v>1.2048021078156118E-4</v>
          </cell>
        </row>
        <row r="180">
          <cell r="A180" t="str">
            <v>T_C-MHY-GSL-S3</v>
          </cell>
          <cell r="B180" t="str">
            <v>VAR_fin</v>
          </cell>
          <cell r="C180" t="str">
            <v>TGSL</v>
          </cell>
          <cell r="H180">
            <v>1.2015836930289029E-3</v>
          </cell>
          <cell r="I180">
            <v>2.7037594356915553E-4</v>
          </cell>
        </row>
        <row r="181">
          <cell r="A181" t="str">
            <v>T_C-MHY-GSL-S3</v>
          </cell>
          <cell r="B181" t="str">
            <v>VAR_ncap</v>
          </cell>
          <cell r="C181" t="str">
            <v>-</v>
          </cell>
        </row>
        <row r="182">
          <cell r="A182" t="str">
            <v>T_C-MHY-GSL-S3</v>
          </cell>
          <cell r="B182" t="str">
            <v>VAR_cap</v>
          </cell>
          <cell r="C182" t="str">
            <v>-</v>
          </cell>
          <cell r="H182">
            <v>3.9707810620859199E-5</v>
          </cell>
          <cell r="I182">
            <v>9.6072759209894406E-6</v>
          </cell>
        </row>
        <row r="183">
          <cell r="A183" t="str">
            <v>T_C-MHY-DSL-S2</v>
          </cell>
          <cell r="B183" t="str">
            <v>VAR_fout</v>
          </cell>
          <cell r="C183" t="str">
            <v>CO2_T</v>
          </cell>
          <cell r="H183">
            <v>6.3472438316192314E-2</v>
          </cell>
          <cell r="I183">
            <v>1.560303768142008E-2</v>
          </cell>
        </row>
        <row r="184">
          <cell r="A184" t="str">
            <v>T_C-MHY-DSL-S2</v>
          </cell>
          <cell r="B184" t="str">
            <v>VAR_fout</v>
          </cell>
          <cell r="C184" t="str">
            <v>TPCAR</v>
          </cell>
          <cell r="H184">
            <v>4.2496747367077757E-4</v>
          </cell>
          <cell r="I184">
            <v>1.0834857931758173E-4</v>
          </cell>
        </row>
        <row r="185">
          <cell r="A185" t="str">
            <v>T_C-MHY-DSL-S2</v>
          </cell>
          <cell r="B185" t="str">
            <v>VAR_fin</v>
          </cell>
          <cell r="C185" t="str">
            <v>TDSL</v>
          </cell>
          <cell r="H185">
            <v>8.6592685288120429E-4</v>
          </cell>
          <cell r="I185">
            <v>2.128654526796733E-4</v>
          </cell>
        </row>
        <row r="186">
          <cell r="A186" t="str">
            <v>T_C-MHY-DSL-S2</v>
          </cell>
          <cell r="B186" t="str">
            <v>VAR_ncap</v>
          </cell>
          <cell r="C186" t="str">
            <v>-</v>
          </cell>
        </row>
        <row r="187">
          <cell r="A187" t="str">
            <v>T_C-MHY-DSL-S2</v>
          </cell>
          <cell r="B187" t="str">
            <v>VAR_cap</v>
          </cell>
          <cell r="C187" t="str">
            <v>-</v>
          </cell>
          <cell r="H187">
            <v>3.6729168314133803E-5</v>
          </cell>
          <cell r="I187">
            <v>9.5450720201435492E-6</v>
          </cell>
        </row>
        <row r="188">
          <cell r="A188" t="str">
            <v>T_C-MHY-GSL-S4</v>
          </cell>
          <cell r="B188" t="str">
            <v>VAR_fout</v>
          </cell>
          <cell r="C188" t="str">
            <v>CO2_T</v>
          </cell>
          <cell r="H188">
            <v>0.1084620172940253</v>
          </cell>
          <cell r="I188">
            <v>2.4164579297527682E-2</v>
          </cell>
        </row>
        <row r="189">
          <cell r="A189" t="str">
            <v>T_C-MHY-GSL-S4</v>
          </cell>
          <cell r="B189" t="str">
            <v>VAR_fout</v>
          </cell>
          <cell r="C189" t="str">
            <v>TPCAR</v>
          </cell>
          <cell r="H189">
            <v>6.3217652756424915E-4</v>
          </cell>
          <cell r="I189">
            <v>1.4707714869323103E-4</v>
          </cell>
        </row>
        <row r="190">
          <cell r="A190" t="str">
            <v>T_C-MHY-GSL-S4</v>
          </cell>
          <cell r="B190" t="str">
            <v>VAR_fin</v>
          </cell>
          <cell r="C190" t="str">
            <v>TGSL</v>
          </cell>
          <cell r="H190">
            <v>1.4696750310843516E-3</v>
          </cell>
          <cell r="I190">
            <v>3.2743332381473823E-4</v>
          </cell>
        </row>
        <row r="191">
          <cell r="A191" t="str">
            <v>T_C-MHY-GSL-S4</v>
          </cell>
          <cell r="B191" t="str">
            <v>VAR_ncap</v>
          </cell>
          <cell r="C191" t="str">
            <v>-</v>
          </cell>
        </row>
        <row r="192">
          <cell r="A192" t="str">
            <v>T_C-MHY-GSL-S4</v>
          </cell>
          <cell r="B192" t="str">
            <v>VAR_cap</v>
          </cell>
          <cell r="C192" t="str">
            <v>-</v>
          </cell>
          <cell r="H192">
            <v>5.8582251525050702E-5</v>
          </cell>
          <cell r="I192">
            <v>1.39615399060677E-5</v>
          </cell>
        </row>
        <row r="193">
          <cell r="A193" t="str">
            <v>T_C-MHY-DSL-S3</v>
          </cell>
          <cell r="B193" t="str">
            <v>VAR_fout</v>
          </cell>
          <cell r="C193" t="str">
            <v>CO2_T</v>
          </cell>
          <cell r="H193">
            <v>6.4821385264051373E-2</v>
          </cell>
          <cell r="I193">
            <v>1.480051368396315E-2</v>
          </cell>
        </row>
        <row r="194">
          <cell r="A194" t="str">
            <v>T_C-MHY-DSL-S3</v>
          </cell>
          <cell r="B194" t="str">
            <v>VAR_fout</v>
          </cell>
          <cell r="C194" t="str">
            <v>TPCAR</v>
          </cell>
          <cell r="H194">
            <v>4.0174112392225419E-4</v>
          </cell>
          <cell r="I194">
            <v>9.5434184438483971E-5</v>
          </cell>
        </row>
        <row r="195">
          <cell r="A195" t="str">
            <v>T_C-MHY-DSL-S3</v>
          </cell>
          <cell r="B195" t="str">
            <v>VAR_fin</v>
          </cell>
          <cell r="C195" t="str">
            <v>TDSL</v>
          </cell>
          <cell r="H195">
            <v>8.843299490320784E-4</v>
          </cell>
          <cell r="I195">
            <v>2.0191696703906106E-4</v>
          </cell>
        </row>
        <row r="196">
          <cell r="A196" t="str">
            <v>T_C-MHY-DSL-S3</v>
          </cell>
          <cell r="B196" t="str">
            <v>VAR_ncap</v>
          </cell>
          <cell r="C196" t="str">
            <v>-</v>
          </cell>
        </row>
        <row r="197">
          <cell r="A197" t="str">
            <v>T_C-MHY-DSL-S3</v>
          </cell>
          <cell r="B197" t="str">
            <v>VAR_cap</v>
          </cell>
          <cell r="C197" t="str">
            <v>-</v>
          </cell>
          <cell r="H197">
            <v>3.0787810848130401E-5</v>
          </cell>
          <cell r="I197">
            <v>7.4348505761560701E-6</v>
          </cell>
        </row>
        <row r="198">
          <cell r="A198" t="str">
            <v>T_B_c-HYBDSL-S1</v>
          </cell>
          <cell r="B198" t="str">
            <v>VAR_fout</v>
          </cell>
          <cell r="C198" t="str">
            <v>CO2_T</v>
          </cell>
          <cell r="H198">
            <v>1.1724143942875799E-3</v>
          </cell>
          <cell r="I198">
            <v>1.5064355348872E-3</v>
          </cell>
          <cell r="J198">
            <v>6.4393994677630596E-4</v>
          </cell>
        </row>
        <row r="199">
          <cell r="A199" t="str">
            <v>T_B_c-HYBDSL-S1</v>
          </cell>
          <cell r="B199" t="str">
            <v>VAR_fout</v>
          </cell>
          <cell r="C199" t="str">
            <v>TPBSc</v>
          </cell>
          <cell r="H199">
            <v>3.111075856095106E-6</v>
          </cell>
          <cell r="I199">
            <v>4.2058615023089597E-6</v>
          </cell>
          <cell r="J199">
            <v>1.7978348022360939E-6</v>
          </cell>
        </row>
        <row r="200">
          <cell r="A200" t="str">
            <v>T_B_c-HYBDSL-S1</v>
          </cell>
          <cell r="B200" t="str">
            <v>VAR_fin</v>
          </cell>
          <cell r="C200" t="str">
            <v>TDSL</v>
          </cell>
          <cell r="H200">
            <v>1.5994739349080256E-5</v>
          </cell>
          <cell r="I200">
            <v>2.0551644405009514E-5</v>
          </cell>
          <cell r="J200">
            <v>8.7849924526099119E-6</v>
          </cell>
        </row>
        <row r="201">
          <cell r="A201" t="str">
            <v>T_B_c-HYBDSL-S1</v>
          </cell>
          <cell r="B201" t="str">
            <v>VAR_ncap</v>
          </cell>
          <cell r="C201" t="str">
            <v>-</v>
          </cell>
          <cell r="H201">
            <v>6.8775163943915399E-8</v>
          </cell>
          <cell r="I201">
            <v>7.8669150208798495E-8</v>
          </cell>
        </row>
        <row r="202">
          <cell r="A202" t="str">
            <v>T_B_c-HYBDSL-S1</v>
          </cell>
          <cell r="B202" t="str">
            <v>VAR_cap</v>
          </cell>
          <cell r="C202" t="str">
            <v>-</v>
          </cell>
          <cell r="H202">
            <v>9.7107912324079673E-8</v>
          </cell>
          <cell r="I202">
            <v>6.8510188400148902E-8</v>
          </cell>
          <cell r="J202">
            <v>5.15222547211158E-8</v>
          </cell>
        </row>
        <row r="203">
          <cell r="A203" t="str">
            <v>T_C-MHY-DSL-S4</v>
          </cell>
          <cell r="B203" t="str">
            <v>VAR_fout</v>
          </cell>
          <cell r="C203" t="str">
            <v>CO2_T</v>
          </cell>
          <cell r="H203">
            <v>4.7827231169685659E-2</v>
          </cell>
          <cell r="I203">
            <v>1.138469288504881E-2</v>
          </cell>
        </row>
        <row r="204">
          <cell r="A204" t="str">
            <v>T_C-MHY-DSL-S4</v>
          </cell>
          <cell r="B204" t="str">
            <v>VAR_fout</v>
          </cell>
          <cell r="C204" t="str">
            <v>TPCAR</v>
          </cell>
          <cell r="H204">
            <v>2.8181482975325278E-4</v>
          </cell>
          <cell r="I204">
            <v>6.9755839649006491E-5</v>
          </cell>
        </row>
        <row r="205">
          <cell r="A205" t="str">
            <v>T_C-MHY-DSL-S4</v>
          </cell>
          <cell r="B205" t="str">
            <v>VAR_fin</v>
          </cell>
          <cell r="C205" t="str">
            <v>TDSL</v>
          </cell>
          <cell r="H205">
            <v>6.5248610054141252E-4</v>
          </cell>
          <cell r="I205">
            <v>1.5531641043722798E-4</v>
          </cell>
        </row>
        <row r="206">
          <cell r="A206" t="str">
            <v>T_C-MHY-DSL-S4</v>
          </cell>
          <cell r="B206" t="str">
            <v>VAR_ncap</v>
          </cell>
          <cell r="C206" t="str">
            <v>-</v>
          </cell>
        </row>
        <row r="207">
          <cell r="A207" t="str">
            <v>T_C-MHY-DSL-S4</v>
          </cell>
          <cell r="B207" t="str">
            <v>VAR_cap</v>
          </cell>
          <cell r="C207" t="str">
            <v>-</v>
          </cell>
          <cell r="H207">
            <v>2.5342596684430298E-5</v>
          </cell>
          <cell r="I207">
            <v>6.34727833386059E-6</v>
          </cell>
        </row>
        <row r="208">
          <cell r="A208" t="str">
            <v>T_B_c-HYBDSL-S2</v>
          </cell>
          <cell r="B208" t="str">
            <v>VAR_fout</v>
          </cell>
          <cell r="C208" t="str">
            <v>CO2_T</v>
          </cell>
          <cell r="H208">
            <v>1.63120943863167E-3</v>
          </cell>
          <cell r="I208">
            <v>2.0919951688172398E-3</v>
          </cell>
          <cell r="J208">
            <v>1.5458126249729069E-3</v>
          </cell>
        </row>
        <row r="209">
          <cell r="A209" t="str">
            <v>T_B_c-HYBDSL-S2</v>
          </cell>
          <cell r="B209" t="str">
            <v>VAR_fout</v>
          </cell>
          <cell r="C209" t="str">
            <v>TPBSc</v>
          </cell>
          <cell r="H209">
            <v>3.1021631353881735E-6</v>
          </cell>
          <cell r="I209">
            <v>4.186048956315449E-6</v>
          </cell>
          <cell r="J209">
            <v>3.0783345752040011E-6</v>
          </cell>
        </row>
        <row r="210">
          <cell r="A210" t="str">
            <v>T_B_c-HYBDSL-S2</v>
          </cell>
          <cell r="B210" t="str">
            <v>VAR_fin</v>
          </cell>
          <cell r="C210" t="str">
            <v>TDSL</v>
          </cell>
          <cell r="H210">
            <v>2.2253880472464833E-5</v>
          </cell>
          <cell r="I210">
            <v>2.854017965644258E-5</v>
          </cell>
          <cell r="J210">
            <v>2.1088848908225157E-5</v>
          </cell>
        </row>
        <row r="211">
          <cell r="A211" t="str">
            <v>T_B_c-HYBDSL-S2</v>
          </cell>
          <cell r="B211" t="str">
            <v>VAR_ncap</v>
          </cell>
          <cell r="C211" t="str">
            <v>-</v>
          </cell>
          <cell r="H211">
            <v>3.4882727165716197E-8</v>
          </cell>
          <cell r="I211">
            <v>5.9693778678578298E-8</v>
          </cell>
        </row>
        <row r="212">
          <cell r="A212" t="str">
            <v>T_B_c-HYBDSL-S2</v>
          </cell>
          <cell r="B212" t="str">
            <v>VAR_cap</v>
          </cell>
          <cell r="C212" t="str">
            <v>-</v>
          </cell>
          <cell r="H212">
            <v>2.6240860557374994E-8</v>
          </cell>
          <cell r="I212">
            <v>2.8577636363255105E-8</v>
          </cell>
          <cell r="J212">
            <v>3.6058268007554102E-8</v>
          </cell>
        </row>
        <row r="213">
          <cell r="A213" t="str">
            <v>T_C-BATELCEXT</v>
          </cell>
          <cell r="B213" t="str">
            <v>VAR_fout</v>
          </cell>
          <cell r="C213" t="str">
            <v>TPCAR</v>
          </cell>
        </row>
        <row r="214">
          <cell r="A214" t="str">
            <v>T_C-BATELCEXT</v>
          </cell>
          <cell r="B214" t="str">
            <v>VAR_fin</v>
          </cell>
          <cell r="C214" t="str">
            <v>T-ELC-car</v>
          </cell>
        </row>
        <row r="215">
          <cell r="A215" t="str">
            <v>T_C-BATELCEXT</v>
          </cell>
          <cell r="B215" t="str">
            <v>VAR_cap</v>
          </cell>
          <cell r="C215" t="str">
            <v>-</v>
          </cell>
        </row>
        <row r="216">
          <cell r="A216" t="str">
            <v>D-TDSL</v>
          </cell>
          <cell r="B216" t="str">
            <v>VAR_fout</v>
          </cell>
          <cell r="C216" t="str">
            <v>CO2</v>
          </cell>
          <cell r="H216">
            <v>2343.9381777871799</v>
          </cell>
          <cell r="I216">
            <v>1166.6588754392201</v>
          </cell>
          <cell r="J216">
            <v>106.451408831796</v>
          </cell>
        </row>
        <row r="217">
          <cell r="A217" t="str">
            <v>D-TDSL</v>
          </cell>
          <cell r="B217" t="str">
            <v>VAR_fout</v>
          </cell>
          <cell r="C217" t="str">
            <v>TDSL</v>
          </cell>
          <cell r="H217">
            <v>31.507386314409647</v>
          </cell>
          <cell r="I217">
            <v>15.682312884335619</v>
          </cell>
          <cell r="J217">
            <v>1.430927527680329</v>
          </cell>
        </row>
        <row r="218">
          <cell r="A218" t="str">
            <v>D-TDSL</v>
          </cell>
          <cell r="B218" t="str">
            <v>VAR_fin</v>
          </cell>
          <cell r="C218" t="str">
            <v>DSL</v>
          </cell>
          <cell r="H218">
            <v>31.97732848277191</v>
          </cell>
          <cell r="I218">
            <v>15.916219310221209</v>
          </cell>
          <cell r="J218">
            <v>1.4522702432714278</v>
          </cell>
        </row>
        <row r="219">
          <cell r="A219" t="str">
            <v>T_B_c-HYBDSL-S3</v>
          </cell>
          <cell r="B219" t="str">
            <v>VAR_fout</v>
          </cell>
          <cell r="C219" t="str">
            <v>CO2_T</v>
          </cell>
          <cell r="H219">
            <v>1.105640419816365E-4</v>
          </cell>
          <cell r="I219">
            <v>1.2711675099071199E-3</v>
          </cell>
        </row>
        <row r="220">
          <cell r="A220" t="str">
            <v>T_B_c-HYBDSL-S3</v>
          </cell>
          <cell r="B220" t="str">
            <v>VAR_fout</v>
          </cell>
          <cell r="C220" t="str">
            <v>TPBSc</v>
          </cell>
          <cell r="H220">
            <v>1.3616594125524149E-7</v>
          </cell>
          <cell r="I220">
            <v>1.7122087465703503E-6</v>
          </cell>
        </row>
        <row r="221">
          <cell r="A221" t="str">
            <v>T_B_c-HYBDSL-S3</v>
          </cell>
          <cell r="B221" t="str">
            <v>VAR_fin</v>
          </cell>
          <cell r="C221" t="str">
            <v>TDSL</v>
          </cell>
          <cell r="H221">
            <v>1.508377107525738E-6</v>
          </cell>
          <cell r="I221">
            <v>1.7341985128337197E-5</v>
          </cell>
        </row>
        <row r="222">
          <cell r="A222" t="str">
            <v>T_B_c-HYBDSL-S3</v>
          </cell>
          <cell r="B222" t="str">
            <v>VAR_ncap</v>
          </cell>
          <cell r="C222" t="str">
            <v>-</v>
          </cell>
          <cell r="H222">
            <v>2.03417098850684E-8</v>
          </cell>
          <cell r="I222">
            <v>4.1568301169876202E-8</v>
          </cell>
        </row>
        <row r="223">
          <cell r="A223" t="str">
            <v>T_B_c-HYBDSL-S3</v>
          </cell>
          <cell r="B223" t="str">
            <v>VAR_cap</v>
          </cell>
          <cell r="C223" t="str">
            <v>-</v>
          </cell>
          <cell r="H223">
            <v>4.3365350041577999E-8</v>
          </cell>
          <cell r="I223">
            <v>4.4382146818814396E-8</v>
          </cell>
          <cell r="J223">
            <v>1.42380263417503E-8</v>
          </cell>
        </row>
        <row r="224">
          <cell r="A224" t="str">
            <v>T-Bat-Car-STG_S1</v>
          </cell>
          <cell r="B224" t="str">
            <v>VAR_fout</v>
          </cell>
          <cell r="C224" t="str">
            <v>T-ELC-car-BatSTGAUXout_S1</v>
          </cell>
          <cell r="H224">
            <v>1.2066112221766703</v>
          </cell>
          <cell r="I224">
            <v>1.9876372154749471</v>
          </cell>
          <cell r="J224">
            <v>1.9292801597192113</v>
          </cell>
        </row>
        <row r="225">
          <cell r="A225" t="str">
            <v>T-Bat-Car-STG_S1</v>
          </cell>
          <cell r="B225" t="str">
            <v>VAR_fout</v>
          </cell>
          <cell r="C225" t="str">
            <v>T-ELC-car-BatSTGOut_S1</v>
          </cell>
          <cell r="H225">
            <v>1.2066112221766703</v>
          </cell>
          <cell r="I225">
            <v>1.9876372154749469</v>
          </cell>
          <cell r="J225">
            <v>1.9292801597192113</v>
          </cell>
        </row>
        <row r="226">
          <cell r="A226" t="str">
            <v>T-Bat-Car-STG_S1</v>
          </cell>
          <cell r="B226" t="str">
            <v>VAR_fin</v>
          </cell>
          <cell r="C226" t="str">
            <v>T-ELC-car-BatSTGAUXin_S1</v>
          </cell>
          <cell r="H226">
            <v>1.2068021891977285</v>
          </cell>
          <cell r="I226">
            <v>1.9878927361397078</v>
          </cell>
          <cell r="J226">
            <v>1.9295238021511461</v>
          </cell>
        </row>
        <row r="227">
          <cell r="A227" t="str">
            <v>T-Bat-Car-STG_S1</v>
          </cell>
          <cell r="B227" t="str">
            <v>VAR_fin</v>
          </cell>
          <cell r="C227" t="str">
            <v>T-ELC-car-BatSTGin_S1</v>
          </cell>
          <cell r="H227">
            <v>1.2068021891977285</v>
          </cell>
          <cell r="I227">
            <v>1.9878927361397078</v>
          </cell>
          <cell r="J227">
            <v>1.9295238021511461</v>
          </cell>
        </row>
        <row r="228">
          <cell r="A228" t="str">
            <v>T-Bat-Car-STG_S1</v>
          </cell>
          <cell r="B228" t="str">
            <v>VAR_ncap</v>
          </cell>
          <cell r="C228" t="str">
            <v>-</v>
          </cell>
          <cell r="H228">
            <v>16.247023443328001</v>
          </cell>
          <cell r="I228">
            <v>11.8970717726788</v>
          </cell>
          <cell r="J228">
            <v>23.5214877997701</v>
          </cell>
        </row>
        <row r="229">
          <cell r="A229" t="str">
            <v>T-Bat-Car-STG_S1</v>
          </cell>
          <cell r="B229" t="str">
            <v>VAR_cap</v>
          </cell>
          <cell r="C229" t="str">
            <v>-</v>
          </cell>
          <cell r="H229">
            <v>24.393031653280929</v>
          </cell>
          <cell r="I229">
            <v>29.433860920453323</v>
          </cell>
          <cell r="J229">
            <v>30.123968798032529</v>
          </cell>
        </row>
        <row r="230">
          <cell r="A230" t="str">
            <v>T_B_c-HYBDSL-S4</v>
          </cell>
          <cell r="B230" t="str">
            <v>VAR_fout</v>
          </cell>
          <cell r="C230" t="str">
            <v>CO2_T</v>
          </cell>
          <cell r="I230">
            <v>4.4051914401862601E-5</v>
          </cell>
        </row>
        <row r="231">
          <cell r="A231" t="str">
            <v>T_B_c-HYBDSL-S4</v>
          </cell>
          <cell r="B231" t="str">
            <v>VAR_fout</v>
          </cell>
          <cell r="C231" t="str">
            <v>TPBSc</v>
          </cell>
          <cell r="I231">
            <v>4.0071475581588999E-8</v>
          </cell>
        </row>
        <row r="232">
          <cell r="A232" t="str">
            <v>T_B_c-HYBDSL-S4</v>
          </cell>
          <cell r="B232" t="str">
            <v>VAR_fin</v>
          </cell>
          <cell r="C232" t="str">
            <v>TDSL</v>
          </cell>
          <cell r="I232">
            <v>6.0098109688762094E-7</v>
          </cell>
        </row>
        <row r="233">
          <cell r="A233" t="str">
            <v>T_B_c-HYBDSL-S4</v>
          </cell>
          <cell r="B233" t="str">
            <v>VAR_ncap</v>
          </cell>
          <cell r="C233" t="str">
            <v>-</v>
          </cell>
        </row>
        <row r="234">
          <cell r="A234" t="str">
            <v>T_B_c-HYBDSL-S4</v>
          </cell>
          <cell r="B234" t="str">
            <v>VAR_cap</v>
          </cell>
          <cell r="C234" t="str">
            <v>-</v>
          </cell>
          <cell r="H234">
            <v>3.27407970926859E-9</v>
          </cell>
          <cell r="I234">
            <v>-2.66391250375143E-8</v>
          </cell>
        </row>
        <row r="235">
          <cell r="A235" t="str">
            <v>TFHGV-ICEDSLExt</v>
          </cell>
          <cell r="B235" t="str">
            <v>VAR_fout</v>
          </cell>
          <cell r="C235" t="str">
            <v>CO2_T</v>
          </cell>
        </row>
        <row r="236">
          <cell r="A236" t="str">
            <v>TFHGV-ICEDSLExt</v>
          </cell>
          <cell r="B236" t="str">
            <v>VAR_fout</v>
          </cell>
          <cell r="C236" t="str">
            <v>TFHGV</v>
          </cell>
        </row>
        <row r="237">
          <cell r="A237" t="str">
            <v>TFHGV-ICEDSLExt</v>
          </cell>
          <cell r="B237" t="str">
            <v>VAR_fin</v>
          </cell>
          <cell r="C237" t="str">
            <v>TDSL</v>
          </cell>
        </row>
        <row r="238">
          <cell r="A238" t="str">
            <v>TFHGV-ICEDSLExt</v>
          </cell>
          <cell r="B238" t="str">
            <v>VAR_cap</v>
          </cell>
          <cell r="C238" t="str">
            <v>-</v>
          </cell>
        </row>
        <row r="239">
          <cell r="A239" t="str">
            <v>TPSHPGSLEXT</v>
          </cell>
          <cell r="B239" t="str">
            <v>VAR_fout</v>
          </cell>
          <cell r="C239" t="str">
            <v>TPSHP</v>
          </cell>
          <cell r="H239">
            <v>7.5539444019442806E-2</v>
          </cell>
          <cell r="I239">
            <v>0.101899964341543</v>
          </cell>
        </row>
        <row r="240">
          <cell r="A240" t="str">
            <v>TPSHPGSLEXT</v>
          </cell>
          <cell r="B240" t="str">
            <v>VAR_fout</v>
          </cell>
          <cell r="C240" t="str">
            <v>CO2_T</v>
          </cell>
          <cell r="H240">
            <v>6.15041428605387</v>
          </cell>
          <cell r="I240">
            <v>8.2966853220854695</v>
          </cell>
        </row>
        <row r="241">
          <cell r="A241" t="str">
            <v>TPSHPGSLEXT</v>
          </cell>
          <cell r="B241" t="str">
            <v>VAR_fin</v>
          </cell>
          <cell r="C241" t="str">
            <v>TGSL</v>
          </cell>
          <cell r="H241">
            <v>8.3338946965499733E-2</v>
          </cell>
          <cell r="I241">
            <v>0.1124212103263616</v>
          </cell>
        </row>
        <row r="242">
          <cell r="A242" t="str">
            <v>TPSHPGSLEXT</v>
          </cell>
          <cell r="B242" t="str">
            <v>VAR_ncap</v>
          </cell>
          <cell r="C242" t="str">
            <v>-</v>
          </cell>
          <cell r="H242">
            <v>3.1149844291227198E-5</v>
          </cell>
          <cell r="I242">
            <v>7.5413349128474097E-2</v>
          </cell>
          <cell r="J242">
            <v>3.06960030796483E-6</v>
          </cell>
        </row>
        <row r="243">
          <cell r="A243" t="str">
            <v>TPSHPGSLEXT</v>
          </cell>
          <cell r="B243" t="str">
            <v>VAR_cap</v>
          </cell>
          <cell r="C243" t="str">
            <v>-</v>
          </cell>
          <cell r="H243">
            <v>7.5525396954042145E-2</v>
          </cell>
          <cell r="I243">
            <v>0.10185507254674575</v>
          </cell>
          <cell r="J243">
            <v>1.1299342019502334E-5</v>
          </cell>
        </row>
        <row r="244">
          <cell r="A244" t="str">
            <v>T-Bat-Car-STG_S2</v>
          </cell>
          <cell r="B244" t="str">
            <v>VAR_fout</v>
          </cell>
          <cell r="C244" t="str">
            <v>T-ELC-car-BatSTGAUXout_S2</v>
          </cell>
          <cell r="H244">
            <v>11.867952016547695</v>
          </cell>
          <cell r="I244">
            <v>13.3876807442123</v>
          </cell>
          <cell r="J244">
            <v>12.42255376485377</v>
          </cell>
        </row>
        <row r="245">
          <cell r="A245" t="str">
            <v>T-Bat-Car-STG_S2</v>
          </cell>
          <cell r="B245" t="str">
            <v>VAR_fout</v>
          </cell>
          <cell r="C245" t="str">
            <v>T-ELC-car-BatSTGOut_S2</v>
          </cell>
          <cell r="H245">
            <v>11.867952016547695</v>
          </cell>
          <cell r="I245">
            <v>13.387680744212298</v>
          </cell>
          <cell r="J245">
            <v>12.422553764853768</v>
          </cell>
        </row>
        <row r="246">
          <cell r="A246" t="str">
            <v>T-Bat-Car-STG_S2</v>
          </cell>
          <cell r="B246" t="str">
            <v>VAR_fin</v>
          </cell>
          <cell r="C246" t="str">
            <v>T-ELC-car-BatSTGAUXin_S2</v>
          </cell>
          <cell r="H246">
            <v>11.86919980068302</v>
          </cell>
          <cell r="I246">
            <v>13.389072475532057</v>
          </cell>
          <cell r="J246">
            <v>12.423842180928185</v>
          </cell>
        </row>
        <row r="247">
          <cell r="A247" t="str">
            <v>T-Bat-Car-STG_S2</v>
          </cell>
          <cell r="B247" t="str">
            <v>VAR_fin</v>
          </cell>
          <cell r="C247" t="str">
            <v>T-ELC-car-BatSTGin_S2</v>
          </cell>
          <cell r="H247">
            <v>11.86919980068302</v>
          </cell>
          <cell r="I247">
            <v>13.389072475532057</v>
          </cell>
          <cell r="J247">
            <v>12.423842180928185</v>
          </cell>
        </row>
        <row r="248">
          <cell r="A248" t="str">
            <v>T-Bat-Car-STG_S2</v>
          </cell>
          <cell r="B248" t="str">
            <v>VAR_ncap</v>
          </cell>
          <cell r="C248" t="str">
            <v>-</v>
          </cell>
          <cell r="H248">
            <v>159.18535387932499</v>
          </cell>
          <cell r="I248">
            <v>123.996044003775</v>
          </cell>
          <cell r="J248">
            <v>201.34656388916099</v>
          </cell>
        </row>
        <row r="249">
          <cell r="A249" t="str">
            <v>T-Bat-Car-STG_S2</v>
          </cell>
          <cell r="B249" t="str">
            <v>VAR_cap</v>
          </cell>
          <cell r="C249" t="str">
            <v>-</v>
          </cell>
          <cell r="H249">
            <v>216.96522880571101</v>
          </cell>
          <cell r="I249">
            <v>284.11157468896158</v>
          </cell>
          <cell r="J249">
            <v>273.47925282479952</v>
          </cell>
        </row>
        <row r="250">
          <cell r="A250" t="str">
            <v>T_TW-ICEGSL-S1</v>
          </cell>
          <cell r="B250" t="str">
            <v>VAR_fout</v>
          </cell>
          <cell r="C250" t="str">
            <v>CO2_T</v>
          </cell>
          <cell r="H250">
            <v>29.272450095731237</v>
          </cell>
          <cell r="I250">
            <v>6.2807008510429112</v>
          </cell>
          <cell r="J250">
            <v>0.54546020507515836</v>
          </cell>
        </row>
        <row r="251">
          <cell r="A251" t="str">
            <v>T_TW-ICEGSL-S1</v>
          </cell>
          <cell r="B251" t="str">
            <v>VAR_fout</v>
          </cell>
          <cell r="C251" t="str">
            <v>TPTWL</v>
          </cell>
          <cell r="H251">
            <v>0.79145622361860146</v>
          </cell>
          <cell r="I251">
            <v>0.17178229321243368</v>
          </cell>
          <cell r="J251">
            <v>1.5219250976247607E-2</v>
          </cell>
        </row>
        <row r="252">
          <cell r="A252" t="str">
            <v>T_TW-ICEGSL-S1</v>
          </cell>
          <cell r="B252" t="str">
            <v>VAR_fin</v>
          </cell>
          <cell r="C252" t="str">
            <v>TGSL</v>
          </cell>
          <cell r="H252">
            <v>0.39664566525381068</v>
          </cell>
          <cell r="I252">
            <v>8.5104347575107264E-2</v>
          </cell>
          <cell r="J252">
            <v>7.3910596893652959E-3</v>
          </cell>
        </row>
        <row r="253">
          <cell r="A253" t="str">
            <v>T_TW-ICEGSL-S1</v>
          </cell>
          <cell r="B253" t="str">
            <v>VAR_ncap</v>
          </cell>
          <cell r="C253" t="str">
            <v>-</v>
          </cell>
          <cell r="H253">
            <v>3.5520487615467999E-2</v>
          </cell>
          <cell r="I253">
            <v>8.1125355860879502E-4</v>
          </cell>
          <cell r="J253">
            <v>5.7674013822418596E-4</v>
          </cell>
        </row>
        <row r="254">
          <cell r="A254" t="str">
            <v>T_TW-ICEGSL-S1</v>
          </cell>
          <cell r="B254" t="str">
            <v>VAR_cap</v>
          </cell>
          <cell r="C254" t="str">
            <v>-</v>
          </cell>
          <cell r="H254">
            <v>0.35530432666878792</v>
          </cell>
          <cell r="I254">
            <v>8.2611219221284976E-2</v>
          </cell>
          <cell r="J254">
            <v>7.2166712682336306E-3</v>
          </cell>
        </row>
        <row r="255">
          <cell r="A255" t="str">
            <v>TPSHPDSLEXT</v>
          </cell>
          <cell r="B255" t="str">
            <v>VAR_fout</v>
          </cell>
          <cell r="C255" t="str">
            <v>TPSHP</v>
          </cell>
          <cell r="H255">
            <v>13.119832091452601</v>
          </cell>
          <cell r="I255">
            <v>7.3436744296662297</v>
          </cell>
          <cell r="J255">
            <v>2.0185897827889101</v>
          </cell>
        </row>
        <row r="256">
          <cell r="A256" t="str">
            <v>TPSHPDSLEXT</v>
          </cell>
          <cell r="B256" t="str">
            <v>VAR_fout</v>
          </cell>
          <cell r="C256" t="str">
            <v>CO2_T</v>
          </cell>
          <cell r="H256">
            <v>973.09834988204705</v>
          </cell>
          <cell r="I256">
            <v>544.68055839181102</v>
          </cell>
          <cell r="J256">
            <v>149.71886629558</v>
          </cell>
        </row>
        <row r="257">
          <cell r="A257" t="str">
            <v>TPSHPDSLEXT</v>
          </cell>
          <cell r="B257" t="str">
            <v>VAR_fin</v>
          </cell>
          <cell r="C257" t="str">
            <v>TDSL</v>
          </cell>
          <cell r="H257">
            <v>13.27555729716298</v>
          </cell>
          <cell r="I257">
            <v>7.4308398143493859</v>
          </cell>
          <cell r="J257">
            <v>2.0425493355467919</v>
          </cell>
        </row>
        <row r="258">
          <cell r="A258" t="str">
            <v>TPSHPDSLEXT</v>
          </cell>
          <cell r="B258" t="str">
            <v>VAR_ncap</v>
          </cell>
          <cell r="C258" t="str">
            <v>-</v>
          </cell>
          <cell r="H258">
            <v>3.5577683805163299E-5</v>
          </cell>
          <cell r="I258">
            <v>2.7526873233460498</v>
          </cell>
          <cell r="J258">
            <v>5.5352493570436097E-6</v>
          </cell>
        </row>
        <row r="259">
          <cell r="A259" t="str">
            <v>TPSHPDSLEXT</v>
          </cell>
          <cell r="B259" t="str">
            <v>VAR_cap</v>
          </cell>
          <cell r="C259" t="str">
            <v>-</v>
          </cell>
          <cell r="H259">
            <v>13.11981877139306</v>
          </cell>
          <cell r="I259">
            <v>7.3436446862175391</v>
          </cell>
          <cell r="J259">
            <v>2.0185660714296612</v>
          </cell>
        </row>
        <row r="260">
          <cell r="A260" t="str">
            <v>T-Bat-Car-STG_S3</v>
          </cell>
          <cell r="B260" t="str">
            <v>VAR_fout</v>
          </cell>
          <cell r="C260" t="str">
            <v>T-ELC-car-BatSTGAUXout_S3</v>
          </cell>
          <cell r="H260">
            <v>1.8781063379093017</v>
          </cell>
          <cell r="I260">
            <v>7.6280333060433163</v>
          </cell>
          <cell r="J260">
            <v>11.179739114419018</v>
          </cell>
        </row>
        <row r="261">
          <cell r="A261" t="str">
            <v>T-Bat-Car-STG_S3</v>
          </cell>
          <cell r="B261" t="str">
            <v>VAR_fout</v>
          </cell>
          <cell r="C261" t="str">
            <v>T-ELC-car-BatSTGOut_S3</v>
          </cell>
          <cell r="H261">
            <v>1.8781063379093017</v>
          </cell>
          <cell r="I261">
            <v>7.6280333060433154</v>
          </cell>
          <cell r="J261">
            <v>11.179739114419016</v>
          </cell>
        </row>
        <row r="262">
          <cell r="A262" t="str">
            <v>T-Bat-Car-STG_S3</v>
          </cell>
          <cell r="B262" t="str">
            <v>VAR_fin</v>
          </cell>
          <cell r="C262" t="str">
            <v>T-ELC-car-BatSTGAUXin_S3</v>
          </cell>
          <cell r="H262">
            <v>1.8783550074966011</v>
          </cell>
          <cell r="I262">
            <v>7.6288449570097763</v>
          </cell>
          <cell r="J262">
            <v>11.180903063296549</v>
          </cell>
        </row>
        <row r="263">
          <cell r="A263" t="str">
            <v>T-Bat-Car-STG_S3</v>
          </cell>
          <cell r="B263" t="str">
            <v>VAR_fin</v>
          </cell>
          <cell r="C263" t="str">
            <v>T-ELC-car-BatSTGin_S3</v>
          </cell>
          <cell r="H263">
            <v>1.8783550074966011</v>
          </cell>
          <cell r="I263">
            <v>7.6288449570097763</v>
          </cell>
          <cell r="J263">
            <v>11.180903063296549</v>
          </cell>
        </row>
        <row r="264">
          <cell r="A264" t="str">
            <v>T-Bat-Car-STG_S3</v>
          </cell>
          <cell r="B264" t="str">
            <v>VAR_ncap</v>
          </cell>
          <cell r="C264" t="str">
            <v>-</v>
          </cell>
          <cell r="H264">
            <v>21.759792846259</v>
          </cell>
          <cell r="I264">
            <v>96.0993776396991</v>
          </cell>
          <cell r="J264">
            <v>136.64074712818999</v>
          </cell>
        </row>
        <row r="265">
          <cell r="A265" t="str">
            <v>T-Bat-Car-STG_S3</v>
          </cell>
          <cell r="B265" t="str">
            <v>VAR_cap</v>
          </cell>
          <cell r="C265" t="str">
            <v>-</v>
          </cell>
          <cell r="H265">
            <v>27.135343391586936</v>
          </cell>
          <cell r="I265">
            <v>111.5404104934637</v>
          </cell>
          <cell r="J265">
            <v>170.46977287089601</v>
          </cell>
        </row>
        <row r="266">
          <cell r="A266" t="str">
            <v>T_TW-ICEGSL-S2</v>
          </cell>
          <cell r="B266" t="str">
            <v>VAR_fout</v>
          </cell>
          <cell r="C266" t="str">
            <v>CO2_T</v>
          </cell>
          <cell r="H266">
            <v>0.79543830381253156</v>
          </cell>
          <cell r="I266">
            <v>5.3397352620518597E-2</v>
          </cell>
          <cell r="J266">
            <v>2.9732127640010923E-2</v>
          </cell>
        </row>
        <row r="267">
          <cell r="A267" t="str">
            <v>T_TW-ICEGSL-S2</v>
          </cell>
          <cell r="B267" t="str">
            <v>VAR_fout</v>
          </cell>
          <cell r="C267" t="str">
            <v>TPTWL</v>
          </cell>
          <cell r="H267">
            <v>1.1989243783383886E-2</v>
          </cell>
          <cell r="I267">
            <v>8.5362220107916824E-4</v>
          </cell>
          <cell r="J267">
            <v>4.8964260536684637E-4</v>
          </cell>
        </row>
        <row r="268">
          <cell r="A268" t="str">
            <v>T_TW-ICEGSL-S2</v>
          </cell>
          <cell r="B268" t="str">
            <v>VAR_fin</v>
          </cell>
          <cell r="C268" t="str">
            <v>TGSL</v>
          </cell>
          <cell r="H268">
            <v>1.0778296799627796E-2</v>
          </cell>
          <cell r="I268">
            <v>7.2354136342166198E-4</v>
          </cell>
          <cell r="J268">
            <v>4.0287435826573051E-4</v>
          </cell>
        </row>
        <row r="269">
          <cell r="A269" t="str">
            <v>T_TW-ICEGSL-S2</v>
          </cell>
          <cell r="B269" t="str">
            <v>VAR_ncap</v>
          </cell>
          <cell r="C269" t="str">
            <v>-</v>
          </cell>
          <cell r="H269">
            <v>1.7521318365284401E-4</v>
          </cell>
          <cell r="I269">
            <v>1.0460084499533E-4</v>
          </cell>
          <cell r="J269">
            <v>7.3413883264449397E-5</v>
          </cell>
        </row>
        <row r="270">
          <cell r="A270" t="str">
            <v>T_TW-ICEGSL-S2</v>
          </cell>
          <cell r="B270" t="str">
            <v>VAR_cap</v>
          </cell>
          <cell r="C270" t="str">
            <v>-</v>
          </cell>
          <cell r="H270">
            <v>5.5020580667725144E-3</v>
          </cell>
          <cell r="I270">
            <v>3.6238935037977041E-4</v>
          </cell>
          <cell r="J270">
            <v>2.0150414509555203E-4</v>
          </cell>
        </row>
        <row r="271">
          <cell r="A271" t="str">
            <v>T-Bat-Car-STG_S4</v>
          </cell>
          <cell r="B271" t="str">
            <v>VAR_fout</v>
          </cell>
          <cell r="C271" t="str">
            <v>T-ELC-car-BatSTGAUXout_S4</v>
          </cell>
          <cell r="H271">
            <v>18.000105213465034</v>
          </cell>
          <cell r="I271">
            <v>19.004272652429616</v>
          </cell>
          <cell r="J271">
            <v>18.150783235430108</v>
          </cell>
        </row>
        <row r="272">
          <cell r="A272" t="str">
            <v>T-Bat-Car-STG_S4</v>
          </cell>
          <cell r="B272" t="str">
            <v>VAR_fout</v>
          </cell>
          <cell r="C272" t="str">
            <v>T-ELC-car-BatSTGOut_S4</v>
          </cell>
          <cell r="H272">
            <v>18.000105213465034</v>
          </cell>
          <cell r="I272">
            <v>19.004272652429616</v>
          </cell>
          <cell r="J272">
            <v>18.150783235430104</v>
          </cell>
        </row>
        <row r="273">
          <cell r="A273" t="str">
            <v>T-Bat-Car-STG_S4</v>
          </cell>
          <cell r="B273" t="str">
            <v>VAR_fin</v>
          </cell>
          <cell r="C273" t="str">
            <v>T-ELC-car-BatSTGAUXin_S4</v>
          </cell>
          <cell r="H273">
            <v>18.001966206646706</v>
          </cell>
          <cell r="I273">
            <v>19.006219245510795</v>
          </cell>
          <cell r="J273">
            <v>18.152642930881726</v>
          </cell>
        </row>
        <row r="274">
          <cell r="A274" t="str">
            <v>T-Bat-Car-STG_S4</v>
          </cell>
          <cell r="B274" t="str">
            <v>VAR_fin</v>
          </cell>
          <cell r="C274" t="str">
            <v>T-ELC-car-BatSTGin_S4</v>
          </cell>
          <cell r="H274">
            <v>18.001966206646706</v>
          </cell>
          <cell r="I274">
            <v>19.006219245510795</v>
          </cell>
          <cell r="J274">
            <v>18.152642930881726</v>
          </cell>
        </row>
        <row r="275">
          <cell r="A275" t="str">
            <v>T-Bat-Car-STG_S4</v>
          </cell>
          <cell r="B275" t="str">
            <v>VAR_ncap</v>
          </cell>
          <cell r="C275" t="str">
            <v>-</v>
          </cell>
          <cell r="H275">
            <v>168.16705427589</v>
          </cell>
          <cell r="I275">
            <v>112.688370195571</v>
          </cell>
          <cell r="J275">
            <v>318.98584769274498</v>
          </cell>
        </row>
        <row r="276">
          <cell r="A276" t="str">
            <v>T-Bat-Car-STG_S4</v>
          </cell>
          <cell r="B276" t="str">
            <v>VAR_cap</v>
          </cell>
          <cell r="C276" t="str">
            <v>-</v>
          </cell>
          <cell r="H276">
            <v>284.61541753213362</v>
          </cell>
          <cell r="I276">
            <v>300.83998494839216</v>
          </cell>
          <cell r="J276">
            <v>370.56732738665966</v>
          </cell>
        </row>
        <row r="277">
          <cell r="A277" t="str">
            <v>T_TW-ICEGSL-S3</v>
          </cell>
          <cell r="B277" t="str">
            <v>VAR_fout</v>
          </cell>
          <cell r="C277" t="str">
            <v>CO2_T</v>
          </cell>
          <cell r="H277">
            <v>9.7575951718108733</v>
          </cell>
          <cell r="I277">
            <v>0.22153878231654633</v>
          </cell>
          <cell r="J277">
            <v>3.0713592533256309E-2</v>
          </cell>
        </row>
        <row r="278">
          <cell r="A278" t="str">
            <v>T_TW-ICEGSL-S3</v>
          </cell>
          <cell r="B278" t="str">
            <v>VAR_fout</v>
          </cell>
          <cell r="C278" t="str">
            <v>TPTWL</v>
          </cell>
          <cell r="H278">
            <v>9.6609582283045684E-2</v>
          </cell>
          <cell r="I278">
            <v>2.2195788151161077E-3</v>
          </cell>
          <cell r="J278">
            <v>3.3054994267441067E-4</v>
          </cell>
        </row>
        <row r="279">
          <cell r="A279" t="str">
            <v>T_TW-ICEGSL-S3</v>
          </cell>
          <cell r="B279" t="str">
            <v>VAR_fin</v>
          </cell>
          <cell r="C279" t="str">
            <v>TGSL</v>
          </cell>
          <cell r="H279">
            <v>0.13221673674540491</v>
          </cell>
          <cell r="I279">
            <v>3.0018805191943929E-3</v>
          </cell>
          <cell r="J279">
            <v>4.1617334055902785E-4</v>
          </cell>
        </row>
        <row r="280">
          <cell r="A280" t="str">
            <v>T_TW-ICEGSL-S3</v>
          </cell>
          <cell r="B280" t="str">
            <v>VAR_ncap</v>
          </cell>
          <cell r="C280" t="str">
            <v>-</v>
          </cell>
          <cell r="H280">
            <v>5.71742282717823E-5</v>
          </cell>
          <cell r="I280">
            <v>3.8243844316363602E-5</v>
          </cell>
          <cell r="J280">
            <v>3.2617027905355099E-5</v>
          </cell>
        </row>
        <row r="281">
          <cell r="A281" t="str">
            <v>T_TW-ICEGSL-S3</v>
          </cell>
          <cell r="B281" t="str">
            <v>VAR_cap</v>
          </cell>
          <cell r="C281" t="str">
            <v>-</v>
          </cell>
          <cell r="H281">
            <v>4.6055547781325298E-2</v>
          </cell>
          <cell r="I281">
            <v>9.8260352562489633E-4</v>
          </cell>
          <cell r="J281">
            <v>1.3302754191180978E-4</v>
          </cell>
        </row>
        <row r="282">
          <cell r="A282" t="str">
            <v>T_C-ICEGSLEXT</v>
          </cell>
          <cell r="B282" t="str">
            <v>VAR_fout</v>
          </cell>
          <cell r="C282" t="str">
            <v>CO2_T</v>
          </cell>
        </row>
        <row r="283">
          <cell r="A283" t="str">
            <v>T_C-ICEGSLEXT</v>
          </cell>
          <cell r="B283" t="str">
            <v>VAR_fout</v>
          </cell>
          <cell r="C283" t="str">
            <v>TPCAR</v>
          </cell>
        </row>
        <row r="284">
          <cell r="A284" t="str">
            <v>T_C-ICEGSLEXT</v>
          </cell>
          <cell r="B284" t="str">
            <v>VAR_fin</v>
          </cell>
          <cell r="C284" t="str">
            <v>TGSL</v>
          </cell>
        </row>
        <row r="285">
          <cell r="A285" t="str">
            <v>T_C-ICEGSLEXT</v>
          </cell>
          <cell r="B285" t="str">
            <v>VAR_cap</v>
          </cell>
          <cell r="C285" t="str">
            <v>-</v>
          </cell>
        </row>
        <row r="286">
          <cell r="A286" t="str">
            <v>T_TW-ICEGSL-S4</v>
          </cell>
          <cell r="B286" t="str">
            <v>VAR_fout</v>
          </cell>
          <cell r="C286" t="str">
            <v>CO2_T</v>
          </cell>
          <cell r="H286">
            <v>1.0587581605347163</v>
          </cell>
          <cell r="I286">
            <v>0.31948180850729108</v>
          </cell>
          <cell r="J286">
            <v>5.1840506326881863E-2</v>
          </cell>
        </row>
        <row r="287">
          <cell r="A287" t="str">
            <v>T_TW-ICEGSL-S4</v>
          </cell>
          <cell r="B287" t="str">
            <v>VAR_fout</v>
          </cell>
          <cell r="C287" t="str">
            <v>TPTWL</v>
          </cell>
          <cell r="H287">
            <v>9.7166326257769678E-3</v>
          </cell>
          <cell r="I287">
            <v>2.9448277796265067E-3</v>
          </cell>
          <cell r="J287">
            <v>4.9463680239151999E-4</v>
          </cell>
        </row>
        <row r="288">
          <cell r="A288" t="str">
            <v>T_TW-ICEGSL-S4</v>
          </cell>
          <cell r="B288" t="str">
            <v>VAR_fin</v>
          </cell>
          <cell r="C288" t="str">
            <v>TGSL</v>
          </cell>
          <cell r="H288">
            <v>1.4346316538410786E-2</v>
          </cell>
          <cell r="I288">
            <v>4.3290217954917451E-3</v>
          </cell>
          <cell r="J288">
            <v>7.0244588518810261E-4</v>
          </cell>
        </row>
        <row r="289">
          <cell r="A289" t="str">
            <v>T_TW-ICEGSL-S4</v>
          </cell>
          <cell r="B289" t="str">
            <v>VAR_ncap</v>
          </cell>
          <cell r="C289" t="str">
            <v>-</v>
          </cell>
          <cell r="H289">
            <v>2.9808566820351299E-5</v>
          </cell>
          <cell r="I289">
            <v>2.28173827528169E-5</v>
          </cell>
          <cell r="J289">
            <v>1.8672665099348399E-5</v>
          </cell>
        </row>
        <row r="290">
          <cell r="A290" t="str">
            <v>T_TW-ICEGSL-S4</v>
          </cell>
          <cell r="B290" t="str">
            <v>VAR_cap</v>
          </cell>
          <cell r="C290" t="str">
            <v>-</v>
          </cell>
          <cell r="H290">
            <v>4.3453939572273767E-3</v>
          </cell>
          <cell r="I290">
            <v>1.3175145994368948E-3</v>
          </cell>
          <cell r="J290">
            <v>1.98093243687727E-4</v>
          </cell>
        </row>
        <row r="291">
          <cell r="A291" t="str">
            <v>T_C-ICEDSLEXT</v>
          </cell>
          <cell r="B291" t="str">
            <v>VAR_fout</v>
          </cell>
          <cell r="C291" t="str">
            <v>CO2_T</v>
          </cell>
        </row>
        <row r="292">
          <cell r="A292" t="str">
            <v>T_C-ICEDSLEXT</v>
          </cell>
          <cell r="B292" t="str">
            <v>VAR_fout</v>
          </cell>
          <cell r="C292" t="str">
            <v>TPCAR</v>
          </cell>
        </row>
        <row r="293">
          <cell r="A293" t="str">
            <v>T_C-ICEDSLEXT</v>
          </cell>
          <cell r="B293" t="str">
            <v>VAR_fin</v>
          </cell>
          <cell r="C293" t="str">
            <v>TDSL</v>
          </cell>
        </row>
        <row r="294">
          <cell r="A294" t="str">
            <v>T_C-ICEDSLEXT</v>
          </cell>
          <cell r="B294" t="str">
            <v>VAR_cap</v>
          </cell>
          <cell r="C294" t="str">
            <v>-</v>
          </cell>
        </row>
        <row r="295">
          <cell r="A295" t="str">
            <v>T-Plg-ELC-GSL_S1</v>
          </cell>
          <cell r="B295" t="str">
            <v>VAR_fout</v>
          </cell>
          <cell r="C295" t="str">
            <v>T-PEVmix-ELC_GSL_S1</v>
          </cell>
          <cell r="H295">
            <v>2.2776760497672378E-3</v>
          </cell>
          <cell r="I295">
            <v>1.7942492963703512E-3</v>
          </cell>
          <cell r="J295">
            <v>3.6325561442516558E-4</v>
          </cell>
        </row>
        <row r="296">
          <cell r="A296" t="str">
            <v>T-Plg-ELC-GSL_S1</v>
          </cell>
          <cell r="B296" t="str">
            <v>VAR_fin</v>
          </cell>
          <cell r="C296" t="str">
            <v>T-ELC-car-PlgSTGOut_S1</v>
          </cell>
          <cell r="H296">
            <v>1.2200020236483387E-3</v>
          </cell>
          <cell r="I296">
            <v>9.3606266627026485E-4</v>
          </cell>
          <cell r="J296">
            <v>1.7850755084061984E-4</v>
          </cell>
        </row>
        <row r="297">
          <cell r="A297" t="str">
            <v>T-Plg-ELC-GSL_S2</v>
          </cell>
          <cell r="B297" t="str">
            <v>VAR_fout</v>
          </cell>
          <cell r="C297" t="str">
            <v>T-PEVmix-ELC_GSL_S2</v>
          </cell>
          <cell r="H297">
            <v>1.0861021794411355E-2</v>
          </cell>
          <cell r="I297">
            <v>8.1161822682339155E-3</v>
          </cell>
          <cell r="J297">
            <v>2.8149369485278887E-3</v>
          </cell>
        </row>
        <row r="298">
          <cell r="A298" t="str">
            <v>T-Plg-ELC-GSL_S2</v>
          </cell>
          <cell r="B298" t="str">
            <v>VAR_fin</v>
          </cell>
          <cell r="C298" t="str">
            <v>T-ELC-car-PlgSTGOut_S2</v>
          </cell>
          <cell r="H298">
            <v>6.9738634092214296E-3</v>
          </cell>
          <cell r="I298">
            <v>5.0275742771528744E-3</v>
          </cell>
          <cell r="J298">
            <v>1.6218097680276247E-3</v>
          </cell>
        </row>
        <row r="299">
          <cell r="A299" t="str">
            <v>T-Plg-ELC-DSL_S1</v>
          </cell>
          <cell r="B299" t="str">
            <v>VAR_fout</v>
          </cell>
          <cell r="C299" t="str">
            <v>T-PEVmix-ELC_DSL_S1</v>
          </cell>
          <cell r="H299">
            <v>2.4726421740898759E-3</v>
          </cell>
          <cell r="I299">
            <v>1.9226469327974828E-3</v>
          </cell>
          <cell r="J299">
            <v>3.6222425464022088E-4</v>
          </cell>
        </row>
        <row r="300">
          <cell r="A300" t="str">
            <v>T-Plg-ELC-DSL_S1</v>
          </cell>
          <cell r="B300" t="str">
            <v>VAR_fin</v>
          </cell>
          <cell r="C300" t="str">
            <v>T-ELC-car-PlgSTGOut_S1</v>
          </cell>
          <cell r="H300">
            <v>1.3241575638739912E-3</v>
          </cell>
          <cell r="I300">
            <v>1.0025727108785962E-3</v>
          </cell>
          <cell r="J300">
            <v>1.7803599011787893E-4</v>
          </cell>
        </row>
        <row r="301">
          <cell r="A301" t="str">
            <v>T_TRM_ELC</v>
          </cell>
          <cell r="B301" t="str">
            <v>VAR_fout</v>
          </cell>
          <cell r="C301" t="str">
            <v>TPTRM</v>
          </cell>
          <cell r="H301">
            <v>4.3445409072599625E-2</v>
          </cell>
          <cell r="I301">
            <v>4.4957732178778305E-2</v>
          </cell>
          <cell r="J301">
            <v>4.7722521224863965E-2</v>
          </cell>
        </row>
        <row r="302">
          <cell r="A302" t="str">
            <v>T_TRM_ELC</v>
          </cell>
          <cell r="B302" t="str">
            <v>VAR_fin</v>
          </cell>
          <cell r="C302" t="str">
            <v>TELC</v>
          </cell>
          <cell r="H302">
            <v>0.8603290311106252</v>
          </cell>
          <cell r="I302">
            <v>0.89027685529823286</v>
          </cell>
          <cell r="J302">
            <v>0.94502667425538378</v>
          </cell>
        </row>
        <row r="303">
          <cell r="A303" t="str">
            <v>T-Plg-ELC-GSL_S3</v>
          </cell>
          <cell r="B303" t="str">
            <v>VAR_fout</v>
          </cell>
          <cell r="C303" t="str">
            <v>T-PEVmix-ELC_GSL_S3</v>
          </cell>
          <cell r="H303">
            <v>3.7376702176355536</v>
          </cell>
          <cell r="I303">
            <v>2.8983878861812529</v>
          </cell>
          <cell r="J303">
            <v>0.94127562416851462</v>
          </cell>
        </row>
        <row r="304">
          <cell r="A304" t="str">
            <v>T-Plg-ELC-GSL_S3</v>
          </cell>
          <cell r="B304" t="str">
            <v>VAR_fin</v>
          </cell>
          <cell r="C304" t="str">
            <v>T-ELC-car-PlgSTGOut_S3</v>
          </cell>
          <cell r="H304">
            <v>2.5419041580890553</v>
          </cell>
          <cell r="I304">
            <v>1.8823134702725388</v>
          </cell>
          <cell r="J304">
            <v>0.55498328185961188</v>
          </cell>
        </row>
        <row r="305">
          <cell r="A305" t="str">
            <v>T-Plg-ELC-DSL_S2</v>
          </cell>
          <cell r="B305" t="str">
            <v>VAR_fout</v>
          </cell>
          <cell r="C305" t="str">
            <v>T-PEVmix-ELC_DSL_S2</v>
          </cell>
          <cell r="H305">
            <v>9.4709552228172816E-3</v>
          </cell>
          <cell r="I305">
            <v>9.0564259821481561E-3</v>
          </cell>
          <cell r="J305">
            <v>2.9631804180755518E-3</v>
          </cell>
        </row>
        <row r="306">
          <cell r="A306" t="str">
            <v>T-Plg-ELC-DSL_S2</v>
          </cell>
          <cell r="B306" t="str">
            <v>VAR_fin</v>
          </cell>
          <cell r="C306" t="str">
            <v>T-ELC-car-PlgSTGOut_S2</v>
          </cell>
          <cell r="H306">
            <v>6.0874024864007985E-3</v>
          </cell>
          <cell r="I306">
            <v>5.6003443801412277E-3</v>
          </cell>
          <cell r="J306">
            <v>1.7058298039129469E-3</v>
          </cell>
        </row>
        <row r="307">
          <cell r="A307" t="str">
            <v>T_TW-ICEGSLEXT</v>
          </cell>
          <cell r="B307" t="str">
            <v>VAR_fout</v>
          </cell>
          <cell r="C307" t="str">
            <v>CO2_T</v>
          </cell>
        </row>
        <row r="308">
          <cell r="A308" t="str">
            <v>T_TW-ICEGSLEXT</v>
          </cell>
          <cell r="B308" t="str">
            <v>VAR_fout</v>
          </cell>
          <cell r="C308" t="str">
            <v>TPTWL</v>
          </cell>
        </row>
        <row r="309">
          <cell r="A309" t="str">
            <v>T_TW-ICEGSLEXT</v>
          </cell>
          <cell r="B309" t="str">
            <v>VAR_fin</v>
          </cell>
          <cell r="C309" t="str">
            <v>TGSL</v>
          </cell>
        </row>
        <row r="310">
          <cell r="A310" t="str">
            <v>T_TW-ICEGSLEXT</v>
          </cell>
          <cell r="B310" t="str">
            <v>VAR_cap</v>
          </cell>
          <cell r="C310" t="str">
            <v>-</v>
          </cell>
        </row>
        <row r="311">
          <cell r="A311" t="str">
            <v>T-Plg-ELC-GSL_S4</v>
          </cell>
          <cell r="B311" t="str">
            <v>VAR_fout</v>
          </cell>
          <cell r="C311" t="str">
            <v>T-PEVmix-ELC_GSL_S4</v>
          </cell>
          <cell r="H311">
            <v>1.6609112907799747E-2</v>
          </cell>
          <cell r="I311">
            <v>5.8693789725450043E-3</v>
          </cell>
          <cell r="J311">
            <v>1.5311670180561639E-3</v>
          </cell>
        </row>
        <row r="312">
          <cell r="A312" t="str">
            <v>T-Plg-ELC-GSL_S4</v>
          </cell>
          <cell r="B312" t="str">
            <v>VAR_fin</v>
          </cell>
          <cell r="C312" t="str">
            <v>T-ELC-car-PlgSTGOut_S4</v>
          </cell>
          <cell r="H312">
            <v>1.198649089362072E-2</v>
          </cell>
          <cell r="I312">
            <v>4.1218771158701342E-3</v>
          </cell>
          <cell r="J312">
            <v>1.0099468010070143E-3</v>
          </cell>
        </row>
        <row r="313">
          <cell r="A313" t="str">
            <v>T-Plg-ELC-DSL_S3</v>
          </cell>
          <cell r="B313" t="str">
            <v>VAR_fout</v>
          </cell>
          <cell r="C313" t="str">
            <v>T-PEVmix-ELC_DSL_S3</v>
          </cell>
          <cell r="H313">
            <v>2.9575041308367069</v>
          </cell>
          <cell r="I313">
            <v>2.073763189992202</v>
          </cell>
          <cell r="J313">
            <v>0.65527454504372529</v>
          </cell>
        </row>
        <row r="314">
          <cell r="A314" t="str">
            <v>T-Plg-ELC-DSL_S3</v>
          </cell>
          <cell r="B314" t="str">
            <v>VAR_fin</v>
          </cell>
          <cell r="C314" t="str">
            <v>T-ELC-car-PlgSTGOut_S3</v>
          </cell>
          <cell r="H314">
            <v>2.0113911538988893</v>
          </cell>
          <cell r="I314">
            <v>1.3468646798024615</v>
          </cell>
          <cell r="J314">
            <v>0.38645578725240654</v>
          </cell>
        </row>
        <row r="315">
          <cell r="A315" t="str">
            <v>T-Plg-ELC-DSL_S4</v>
          </cell>
          <cell r="B315" t="str">
            <v>VAR_fout</v>
          </cell>
          <cell r="C315" t="str">
            <v>T-PEVmix-ELC_DSL_S4</v>
          </cell>
          <cell r="H315">
            <v>1.1700458790477101E-2</v>
          </cell>
          <cell r="I315">
            <v>6.6446606603305309E-3</v>
          </cell>
          <cell r="J315">
            <v>1.5079133482456964E-3</v>
          </cell>
        </row>
        <row r="316">
          <cell r="A316" t="str">
            <v>T-Plg-ELC-DSL_S4</v>
          </cell>
          <cell r="B316" t="str">
            <v>VAR_fin</v>
          </cell>
          <cell r="C316" t="str">
            <v>T-ELC-car-PlgSTGOut_S4</v>
          </cell>
          <cell r="H316">
            <v>8.4681646759924133E-3</v>
          </cell>
          <cell r="I316">
            <v>4.6585228089759097E-3</v>
          </cell>
          <cell r="J316">
            <v>9.950801944583565E-4</v>
          </cell>
        </row>
        <row r="317">
          <cell r="A317" t="str">
            <v>TFLGV-ICENGA</v>
          </cell>
          <cell r="B317" t="str">
            <v>VAR_fout</v>
          </cell>
          <cell r="C317" t="str">
            <v>CO2_T</v>
          </cell>
          <cell r="H317">
            <v>0.15399876230987392</v>
          </cell>
          <cell r="I317">
            <v>2.01845934580312E-2</v>
          </cell>
        </row>
        <row r="318">
          <cell r="A318" t="str">
            <v>TFLGV-ICENGA</v>
          </cell>
          <cell r="B318" t="str">
            <v>VAR_fout</v>
          </cell>
          <cell r="C318" t="str">
            <v>TFLGV</v>
          </cell>
          <cell r="H318">
            <v>8.7532712854822314E-4</v>
          </cell>
          <cell r="I318">
            <v>1.1472898851602646E-4</v>
          </cell>
        </row>
        <row r="319">
          <cell r="A319" t="str">
            <v>TFLGV-ICENGA</v>
          </cell>
          <cell r="B319" t="str">
            <v>VAR_fin</v>
          </cell>
          <cell r="C319" t="str">
            <v>TNGA</v>
          </cell>
          <cell r="H319">
            <v>2.730474509040307E-3</v>
          </cell>
          <cell r="I319">
            <v>3.5788286273105051E-4</v>
          </cell>
        </row>
        <row r="320">
          <cell r="A320" t="str">
            <v>TFLGV-ICENGA</v>
          </cell>
          <cell r="B320" t="str">
            <v>VAR_ncap</v>
          </cell>
          <cell r="C320" t="str">
            <v>-</v>
          </cell>
        </row>
        <row r="321">
          <cell r="A321" t="str">
            <v>TFLGV-ICENGA</v>
          </cell>
          <cell r="B321" t="str">
            <v>VAR_cap</v>
          </cell>
          <cell r="C321" t="str">
            <v>-</v>
          </cell>
          <cell r="H321">
            <v>6.6252923698901413E-5</v>
          </cell>
          <cell r="I321">
            <v>1.019791000207424E-5</v>
          </cell>
        </row>
        <row r="322">
          <cell r="A322" t="str">
            <v>TFLGV-BEVELC</v>
          </cell>
          <cell r="B322" t="str">
            <v>VAR_fout</v>
          </cell>
          <cell r="C322" t="str">
            <v>TFLGV</v>
          </cell>
          <cell r="H322">
            <v>4.0481764282499029</v>
          </cell>
          <cell r="I322">
            <v>5.0295158787784269</v>
          </cell>
          <cell r="J322">
            <v>5.6027112673343975</v>
          </cell>
        </row>
        <row r="323">
          <cell r="A323" t="str">
            <v>TFLGV-BEVELC</v>
          </cell>
          <cell r="B323" t="str">
            <v>VAR_fin</v>
          </cell>
          <cell r="C323" t="str">
            <v>T-ELC-LGV_BatSTGout</v>
          </cell>
          <cell r="H323">
            <v>5.9413391833667495</v>
          </cell>
          <cell r="I323">
            <v>7.3816100393801429</v>
          </cell>
          <cell r="J323">
            <v>8.2228649308387602</v>
          </cell>
        </row>
        <row r="324">
          <cell r="A324" t="str">
            <v>TFLGV-BEVELC</v>
          </cell>
          <cell r="B324" t="str">
            <v>VAR_ncap</v>
          </cell>
          <cell r="C324" t="str">
            <v>-</v>
          </cell>
          <cell r="H324">
            <v>0.24735151825500301</v>
          </cell>
          <cell r="I324">
            <v>0.201225638470274</v>
          </cell>
          <cell r="J324">
            <v>0.37861855070928302</v>
          </cell>
        </row>
        <row r="325">
          <cell r="A325" t="str">
            <v>TFLGV-BEVELC</v>
          </cell>
          <cell r="B325" t="str">
            <v>VAR_cap</v>
          </cell>
          <cell r="C325" t="str">
            <v>-</v>
          </cell>
          <cell r="H325">
            <v>0.36262126684849677</v>
          </cell>
          <cell r="I325">
            <v>0.46880617873526303</v>
          </cell>
          <cell r="J325">
            <v>0.52294162237796127</v>
          </cell>
        </row>
        <row r="326">
          <cell r="A326" t="str">
            <v>T_B_c-BEVELC-S1</v>
          </cell>
          <cell r="B326" t="str">
            <v>VAR_fout</v>
          </cell>
          <cell r="C326" t="str">
            <v>TPBSc</v>
          </cell>
          <cell r="H326">
            <v>6.2754373497094187E-2</v>
          </cell>
          <cell r="I326">
            <v>5.2421372882966402E-2</v>
          </cell>
          <cell r="J326">
            <v>6.3097787028269389E-2</v>
          </cell>
        </row>
        <row r="327">
          <cell r="A327" t="str">
            <v>T_B_c-BEVELC-S1</v>
          </cell>
          <cell r="B327" t="str">
            <v>VAR_fin</v>
          </cell>
          <cell r="C327" t="str">
            <v>T-ELC-Bus_c_BatSTGout_S1</v>
          </cell>
          <cell r="H327">
            <v>0.1345909305489649</v>
          </cell>
          <cell r="I327">
            <v>0.11111924982601472</v>
          </cell>
          <cell r="J327">
            <v>0.1189387932059434</v>
          </cell>
        </row>
        <row r="328">
          <cell r="A328" t="str">
            <v>T_B_c-BEVELC-S1</v>
          </cell>
          <cell r="B328" t="str">
            <v>VAR_ncap</v>
          </cell>
          <cell r="C328" t="str">
            <v>-</v>
          </cell>
          <cell r="H328">
            <v>1.1011450914859299E-3</v>
          </cell>
          <cell r="I328">
            <v>3.5827665536138103E-5</v>
          </cell>
          <cell r="J328">
            <v>1.1633218792491101E-3</v>
          </cell>
        </row>
        <row r="329">
          <cell r="A329" t="str">
            <v>T_B_c-BEVELC-S1</v>
          </cell>
          <cell r="B329" t="str">
            <v>VAR_cap</v>
          </cell>
          <cell r="C329" t="str">
            <v>-</v>
          </cell>
          <cell r="H329">
            <v>1.3649235436582721E-3</v>
          </cell>
          <cell r="I329">
            <v>1.139390147427428E-3</v>
          </cell>
          <cell r="J329">
            <v>1.3744921263939896E-3</v>
          </cell>
        </row>
        <row r="330">
          <cell r="A330" t="str">
            <v>T_B_c-BEVELC-S2</v>
          </cell>
          <cell r="B330" t="str">
            <v>VAR_fout</v>
          </cell>
          <cell r="C330" t="str">
            <v>TPBSc</v>
          </cell>
          <cell r="H330">
            <v>3.1623692312860531E-2</v>
          </cell>
          <cell r="I330">
            <v>5.3267123238048379E-2</v>
          </cell>
          <cell r="J330">
            <v>5.5980975439478796E-2</v>
          </cell>
        </row>
        <row r="331">
          <cell r="A331" t="str">
            <v>T_B_c-BEVELC-S2</v>
          </cell>
          <cell r="B331" t="str">
            <v>VAR_fin</v>
          </cell>
          <cell r="C331" t="str">
            <v>T-ELC-Bus_c_BatSTGout_S2</v>
          </cell>
          <cell r="H331">
            <v>9.302926406520777E-2</v>
          </cell>
          <cell r="I331">
            <v>0.15281379693934855</v>
          </cell>
          <cell r="J331">
            <v>0.14747723528636481</v>
          </cell>
        </row>
        <row r="332">
          <cell r="A332" t="str">
            <v>T_B_c-BEVELC-S2</v>
          </cell>
          <cell r="B332" t="str">
            <v>VAR_ncap</v>
          </cell>
          <cell r="C332" t="str">
            <v>-</v>
          </cell>
          <cell r="H332">
            <v>6.343611637884E-4</v>
          </cell>
          <cell r="I332">
            <v>5.1410541795850802E-4</v>
          </cell>
          <cell r="J332">
            <v>8.4763564313728996E-4</v>
          </cell>
        </row>
        <row r="333">
          <cell r="A333" t="str">
            <v>T_B_c-BEVELC-S2</v>
          </cell>
          <cell r="B333" t="str">
            <v>VAR_cap</v>
          </cell>
          <cell r="C333" t="str">
            <v>-</v>
          </cell>
          <cell r="H333">
            <v>6.8763163304407069E-4</v>
          </cell>
          <cell r="I333">
            <v>1.1576038922641492E-3</v>
          </cell>
          <cell r="J333">
            <v>1.2167810073683547E-3</v>
          </cell>
        </row>
        <row r="334">
          <cell r="A334" t="str">
            <v>T_B_c-BEVELC-S3</v>
          </cell>
          <cell r="B334" t="str">
            <v>VAR_fout</v>
          </cell>
          <cell r="C334" t="str">
            <v>TPBSc</v>
          </cell>
          <cell r="H334">
            <v>6.4689638652449932E-3</v>
          </cell>
          <cell r="I334">
            <v>1.216073960660821E-2</v>
          </cell>
          <cell r="J334">
            <v>1.1963898550682745E-2</v>
          </cell>
        </row>
        <row r="335">
          <cell r="A335" t="str">
            <v>T_B_c-BEVELC-S3</v>
          </cell>
          <cell r="B335" t="str">
            <v>VAR_fin</v>
          </cell>
          <cell r="C335" t="str">
            <v>T-ELC-Bus_c_BatSTGout_S3</v>
          </cell>
          <cell r="H335">
            <v>2.8465319820465757E-2</v>
          </cell>
          <cell r="I335">
            <v>5.2204260209631467E-2</v>
          </cell>
          <cell r="J335">
            <v>4.6374865867197523E-2</v>
          </cell>
        </row>
        <row r="336">
          <cell r="A336" t="str">
            <v>T_B_c-BEVELC-S3</v>
          </cell>
          <cell r="B336" t="str">
            <v>VAR_ncap</v>
          </cell>
          <cell r="C336" t="str">
            <v>-</v>
          </cell>
          <cell r="H336">
            <v>1.3732881103062101E-4</v>
          </cell>
          <cell r="I336">
            <v>1.27019444600849E-4</v>
          </cell>
          <cell r="J336">
            <v>2.16562190170992E-4</v>
          </cell>
        </row>
        <row r="337">
          <cell r="A337" t="str">
            <v>T_B_c-BEVELC-S3</v>
          </cell>
          <cell r="B337" t="str">
            <v>VAR_cap</v>
          </cell>
          <cell r="C337" t="str">
            <v>-</v>
          </cell>
          <cell r="H337">
            <v>1.40758015238297E-4</v>
          </cell>
          <cell r="I337">
            <v>2.6434825563147099E-4</v>
          </cell>
          <cell r="J337">
            <v>2.6006904869644898E-4</v>
          </cell>
        </row>
        <row r="338">
          <cell r="A338" t="str">
            <v>T_B_c-BEVELC-S4</v>
          </cell>
          <cell r="B338" t="str">
            <v>VAR_fout</v>
          </cell>
          <cell r="C338" t="str">
            <v>TPBSc</v>
          </cell>
          <cell r="H338">
            <v>3.4435053544935878E-5</v>
          </cell>
          <cell r="I338">
            <v>4.7048950352200907E-5</v>
          </cell>
          <cell r="J338">
            <v>1.7417399800164094E-5</v>
          </cell>
        </row>
        <row r="339">
          <cell r="A339" t="str">
            <v>T_B_c-BEVELC-S4</v>
          </cell>
          <cell r="B339" t="str">
            <v>VAR_fin</v>
          </cell>
          <cell r="C339" t="str">
            <v>T-ELC-Bus_c_BatSTGout_S4</v>
          </cell>
          <cell r="H339">
            <v>2.2821903388617153E-4</v>
          </cell>
          <cell r="I339">
            <v>2.9865306314263442E-4</v>
          </cell>
          <cell r="J339">
            <v>1.0205550308025481E-4</v>
          </cell>
        </row>
        <row r="340">
          <cell r="A340" t="str">
            <v>T_B_c-BEVELC-S4</v>
          </cell>
          <cell r="B340" t="str">
            <v>VAR_ncap</v>
          </cell>
          <cell r="C340" t="str">
            <v>-</v>
          </cell>
          <cell r="H340">
            <v>7.4637603737290505E-7</v>
          </cell>
          <cell r="I340">
            <v>7.4424996682890199E-7</v>
          </cell>
          <cell r="J340">
            <v>3.2117978701449002E-7</v>
          </cell>
        </row>
        <row r="341">
          <cell r="A341" t="str">
            <v>T_B_c-BEVELC-S4</v>
          </cell>
          <cell r="B341" t="str">
            <v>VAR_cap</v>
          </cell>
          <cell r="C341" t="str">
            <v>-</v>
          </cell>
          <cell r="H341">
            <v>8.6676584511199595E-7</v>
          </cell>
          <cell r="I341">
            <v>1.041072279326588E-6</v>
          </cell>
          <cell r="J341">
            <v>4.5178719877706802E-7</v>
          </cell>
        </row>
        <row r="342">
          <cell r="A342" t="str">
            <v>T_C-BAT-ELC-S1</v>
          </cell>
          <cell r="B342" t="str">
            <v>VAR_fout</v>
          </cell>
          <cell r="C342" t="str">
            <v>TPCAR</v>
          </cell>
          <cell r="H342">
            <v>2.1427885146138888</v>
          </cell>
          <cell r="I342">
            <v>2.6284834087046418</v>
          </cell>
          <cell r="J342">
            <v>2.8463529258089766</v>
          </cell>
        </row>
        <row r="343">
          <cell r="A343" t="str">
            <v>T_C-BAT-ELC-S1</v>
          </cell>
          <cell r="B343" t="str">
            <v>VAR_fin</v>
          </cell>
          <cell r="C343" t="str">
            <v>T-ELC-car-BatSTGOut_S1</v>
          </cell>
          <cell r="H343">
            <v>1.1454946517913449</v>
          </cell>
          <cell r="I343">
            <v>1.3658947394573586</v>
          </cell>
          <cell r="J343">
            <v>1.3443728264961055</v>
          </cell>
        </row>
        <row r="344">
          <cell r="A344" t="str">
            <v>T_C-BAT-ELC-S1</v>
          </cell>
          <cell r="B344" t="str">
            <v>VAR_ncap</v>
          </cell>
          <cell r="C344" t="str">
            <v>-</v>
          </cell>
          <cell r="H344">
            <v>0.21872004268610001</v>
          </cell>
          <cell r="I344">
            <v>0.16471959406532399</v>
          </cell>
          <cell r="J344">
            <v>0.34526312977013401</v>
          </cell>
        </row>
        <row r="345">
          <cell r="A345" t="str">
            <v>T_C-BAT-ELC-S1</v>
          </cell>
          <cell r="B345" t="str">
            <v>VAR_cap</v>
          </cell>
          <cell r="C345" t="str">
            <v>-</v>
          </cell>
          <cell r="H345">
            <v>0.32562220675264453</v>
          </cell>
          <cell r="I345">
            <v>0.39944988916566021</v>
          </cell>
          <cell r="J345">
            <v>0.43256998623606824</v>
          </cell>
        </row>
        <row r="346">
          <cell r="A346" t="str">
            <v>D-TNGA</v>
          </cell>
          <cell r="B346" t="str">
            <v>VAR_fout</v>
          </cell>
          <cell r="C346" t="str">
            <v>CO2</v>
          </cell>
          <cell r="H346">
            <v>3.6129799009322801</v>
          </cell>
          <cell r="I346">
            <v>1.18758778090239</v>
          </cell>
          <cell r="J346">
            <v>7.3521528419208906E-2</v>
          </cell>
        </row>
        <row r="347">
          <cell r="A347" t="str">
            <v>D-TNGA</v>
          </cell>
          <cell r="B347" t="str">
            <v>VAR_fout</v>
          </cell>
          <cell r="C347" t="str">
            <v>TNGA</v>
          </cell>
          <cell r="H347">
            <v>8.0665066467332056E-2</v>
          </cell>
          <cell r="I347">
            <v>3.1396696343639834E-2</v>
          </cell>
          <cell r="J347">
            <v>2.4402310170007486E-3</v>
          </cell>
        </row>
        <row r="348">
          <cell r="A348" t="str">
            <v>D-TNGA</v>
          </cell>
          <cell r="B348" t="str">
            <v>VAR_fin</v>
          </cell>
          <cell r="C348" t="str">
            <v>NGA</v>
          </cell>
          <cell r="H348">
            <v>6.4059927321494264E-2</v>
          </cell>
          <cell r="I348">
            <v>2.105652093798567E-2</v>
          </cell>
          <cell r="J348">
            <v>1.3035731989221443E-3</v>
          </cell>
        </row>
        <row r="349">
          <cell r="A349" t="str">
            <v>D-TNGA</v>
          </cell>
          <cell r="B349" t="str">
            <v>VAR_fin</v>
          </cell>
          <cell r="C349" t="str">
            <v>BNGA</v>
          </cell>
          <cell r="H349">
            <v>1.7166333593504141E-2</v>
          </cell>
          <cell r="I349">
            <v>1.0593985242353656E-2</v>
          </cell>
          <cell r="J349">
            <v>1.3053775800222825E-3</v>
          </cell>
        </row>
        <row r="350">
          <cell r="A350" t="str">
            <v>D-TNGA</v>
          </cell>
          <cell r="B350" t="str">
            <v>VAR_fin</v>
          </cell>
          <cell r="C350" t="str">
            <v>H2</v>
          </cell>
          <cell r="H350">
            <v>2.0041312887611232E-4</v>
          </cell>
          <cell r="I350">
            <v>5.7901534208523113E-4</v>
          </cell>
          <cell r="J350">
            <v>5.1632513560869676E-5</v>
          </cell>
        </row>
        <row r="351">
          <cell r="A351" t="str">
            <v>D-TNGA</v>
          </cell>
          <cell r="B351" t="str">
            <v>VAR_ncap</v>
          </cell>
          <cell r="C351" t="str">
            <v>-</v>
          </cell>
          <cell r="H351">
            <v>5.0674721383086596E-7</v>
          </cell>
          <cell r="I351">
            <v>5.9836447184995398E-7</v>
          </cell>
          <cell r="J351">
            <v>1.1104326115910101E-6</v>
          </cell>
        </row>
        <row r="352">
          <cell r="A352" t="str">
            <v>D-TNGA</v>
          </cell>
          <cell r="B352" t="str">
            <v>VAR_cap</v>
          </cell>
          <cell r="C352" t="str">
            <v>-</v>
          </cell>
          <cell r="H352">
            <v>0.95961990014599363</v>
          </cell>
          <cell r="I352">
            <v>0.95962049851046549</v>
          </cell>
          <cell r="J352">
            <v>0.48125726529702106</v>
          </cell>
        </row>
        <row r="353">
          <cell r="A353" t="str">
            <v>T_C-BAT-ELC-S2</v>
          </cell>
          <cell r="B353" t="str">
            <v>VAR_fout</v>
          </cell>
          <cell r="C353" t="str">
            <v>TPCAR</v>
          </cell>
          <cell r="H353">
            <v>18.021095273612204</v>
          </cell>
          <cell r="I353">
            <v>20.632768950014324</v>
          </cell>
          <cell r="J353">
            <v>20.987273021549218</v>
          </cell>
        </row>
        <row r="354">
          <cell r="A354" t="str">
            <v>T_C-BAT-ELC-S2</v>
          </cell>
          <cell r="B354" t="str">
            <v>VAR_fin</v>
          </cell>
          <cell r="C354" t="str">
            <v>T-ELC-car-BatSTGOut_S2</v>
          </cell>
          <cell r="H354">
            <v>11.838429352714902</v>
          </cell>
          <cell r="I354">
            <v>13.183446024138657</v>
          </cell>
          <cell r="J354">
            <v>12.224267092822052</v>
          </cell>
        </row>
        <row r="355">
          <cell r="A355" t="str">
            <v>T_C-BAT-ELC-S2</v>
          </cell>
          <cell r="B355" t="str">
            <v>VAR_ncap</v>
          </cell>
          <cell r="C355" t="str">
            <v>-</v>
          </cell>
          <cell r="H355">
            <v>1.2047348755284299</v>
          </cell>
          <cell r="I355">
            <v>0.96645215870120005</v>
          </cell>
          <cell r="J355">
            <v>1.6686716872123299</v>
          </cell>
        </row>
        <row r="356">
          <cell r="A356" t="str">
            <v>T_C-BAT-ELC-S2</v>
          </cell>
          <cell r="B356" t="str">
            <v>VAR_cap</v>
          </cell>
          <cell r="C356" t="str">
            <v>-</v>
          </cell>
          <cell r="H356">
            <v>1.6310013013986691</v>
          </cell>
          <cell r="I356">
            <v>2.1760456486573792</v>
          </cell>
          <cell r="J356">
            <v>2.2136374579050901</v>
          </cell>
        </row>
        <row r="357">
          <cell r="A357" t="str">
            <v>TFLGV-BeVELCExt</v>
          </cell>
          <cell r="B357" t="str">
            <v>VAR_fout</v>
          </cell>
          <cell r="C357" t="str">
            <v>TFLGV</v>
          </cell>
        </row>
        <row r="358">
          <cell r="A358" t="str">
            <v>TFLGV-BeVELCExt</v>
          </cell>
          <cell r="B358" t="str">
            <v>VAR_fin</v>
          </cell>
          <cell r="C358" t="str">
            <v>TELC</v>
          </cell>
        </row>
        <row r="359">
          <cell r="A359" t="str">
            <v>TFLGV-BeVELCExt</v>
          </cell>
          <cell r="B359" t="str">
            <v>VAR_cap</v>
          </cell>
          <cell r="C359" t="str">
            <v>-</v>
          </cell>
        </row>
        <row r="360">
          <cell r="A360" t="str">
            <v>T_C-BAT-ELC-S3</v>
          </cell>
          <cell r="B360" t="str">
            <v>VAR_fout</v>
          </cell>
          <cell r="C360" t="str">
            <v>TPCAR</v>
          </cell>
          <cell r="H360">
            <v>2.5684833791879416</v>
          </cell>
          <cell r="I360">
            <v>10.89777877609106</v>
          </cell>
          <cell r="J360">
            <v>17.45576549010342</v>
          </cell>
        </row>
        <row r="361">
          <cell r="A361" t="str">
            <v>T_C-BAT-ELC-S3</v>
          </cell>
          <cell r="B361" t="str">
            <v>VAR_fin</v>
          </cell>
          <cell r="C361" t="str">
            <v>T-ELC-car-BatSTGOut_S3</v>
          </cell>
          <cell r="H361">
            <v>1.8430838693458329</v>
          </cell>
          <cell r="I361">
            <v>7.4247599804205384</v>
          </cell>
          <cell r="J361">
            <v>10.983766170423118</v>
          </cell>
        </row>
        <row r="362">
          <cell r="A362" t="str">
            <v>T_C-BAT-ELC-S3</v>
          </cell>
          <cell r="B362" t="str">
            <v>VAR_ncap</v>
          </cell>
          <cell r="C362" t="str">
            <v>-</v>
          </cell>
          <cell r="H362">
            <v>0.14275179224703699</v>
          </cell>
          <cell r="I362">
            <v>0.64895028604259797</v>
          </cell>
          <cell r="J362">
            <v>0.98004337319910795</v>
          </cell>
        </row>
        <row r="363">
          <cell r="A363" t="str">
            <v>T_C-BAT-ELC-S3</v>
          </cell>
          <cell r="B363" t="str">
            <v>VAR_cap</v>
          </cell>
          <cell r="C363" t="str">
            <v>-</v>
          </cell>
          <cell r="H363">
            <v>0.17665143436010089</v>
          </cell>
          <cell r="I363">
            <v>0.74933692856773071</v>
          </cell>
          <cell r="J363">
            <v>1.2002453341795742</v>
          </cell>
        </row>
        <row r="364">
          <cell r="A364" t="str">
            <v>T_C-BAT-ELC-S4</v>
          </cell>
          <cell r="B364" t="str">
            <v>VAR_fout</v>
          </cell>
          <cell r="C364" t="str">
            <v>TPCAR</v>
          </cell>
          <cell r="H364">
            <v>23.932926789993967</v>
          </cell>
          <cell r="I364">
            <v>25.768724727043516</v>
          </cell>
          <cell r="J364">
            <v>27.423730117897321</v>
          </cell>
        </row>
        <row r="365">
          <cell r="A365" t="str">
            <v>T_C-BAT-ELC-S4</v>
          </cell>
          <cell r="B365" t="str">
            <v>VAR_fin</v>
          </cell>
          <cell r="C365" t="str">
            <v>T-ELC-car-BatSTGOut_S4</v>
          </cell>
          <cell r="H365">
            <v>17.971911180648082</v>
          </cell>
          <cell r="I365">
            <v>18.799128035702147</v>
          </cell>
          <cell r="J365">
            <v>17.959733833242854</v>
          </cell>
        </row>
        <row r="366">
          <cell r="A366" t="str">
            <v>T_C-BAT-ELC-S4</v>
          </cell>
          <cell r="B366" t="str">
            <v>VAR_ncap</v>
          </cell>
          <cell r="C366" t="str">
            <v>-</v>
          </cell>
          <cell r="H366">
            <v>1.1246019461055301</v>
          </cell>
          <cell r="I366">
            <v>0.77389778083330896</v>
          </cell>
          <cell r="J366">
            <v>2.3149825994953299</v>
          </cell>
        </row>
        <row r="367">
          <cell r="A367" t="str">
            <v>T_C-BAT-ELC-S4</v>
          </cell>
          <cell r="B367" t="str">
            <v>VAR_cap</v>
          </cell>
          <cell r="C367" t="str">
            <v>-</v>
          </cell>
          <cell r="H367">
            <v>1.8846429321180833</v>
          </cell>
          <cell r="I367">
            <v>2.029255326596084</v>
          </cell>
          <cell r="J367">
            <v>2.647864025424405</v>
          </cell>
        </row>
        <row r="368">
          <cell r="A368" t="str">
            <v>T_B_c-ICENGA-S1</v>
          </cell>
          <cell r="B368" t="str">
            <v>VAR_fout</v>
          </cell>
          <cell r="C368" t="str">
            <v>CO2_T</v>
          </cell>
          <cell r="H368">
            <v>4.6246567761543692E-2</v>
          </cell>
          <cell r="I368">
            <v>3.7347867370443745E-2</v>
          </cell>
          <cell r="J368">
            <v>1.9738831422984999E-3</v>
          </cell>
        </row>
        <row r="369">
          <cell r="A369" t="str">
            <v>T_B_c-ICENGA-S1</v>
          </cell>
          <cell r="B369" t="str">
            <v>VAR_fout</v>
          </cell>
          <cell r="C369" t="str">
            <v>TPBSc</v>
          </cell>
          <cell r="H369">
            <v>1.1530414468994201E-4</v>
          </cell>
          <cell r="I369">
            <v>9.7722722034112089E-5</v>
          </cell>
          <cell r="J369">
            <v>5.208908326566882E-6</v>
          </cell>
        </row>
        <row r="370">
          <cell r="A370" t="str">
            <v>T_B_c-ICENGA-S1</v>
          </cell>
          <cell r="B370" t="str">
            <v>VAR_fin</v>
          </cell>
          <cell r="C370" t="str">
            <v>TNGA</v>
          </cell>
          <cell r="H370">
            <v>8.1997460570112804E-4</v>
          </cell>
          <cell r="I370">
            <v>6.6219622997240721E-4</v>
          </cell>
          <cell r="J370">
            <v>3.4997928054937922E-5</v>
          </cell>
        </row>
        <row r="371">
          <cell r="A371" t="str">
            <v>T_B_c-ICENGA-S1</v>
          </cell>
          <cell r="B371" t="str">
            <v>VAR_ncap</v>
          </cell>
          <cell r="C371" t="str">
            <v>-</v>
          </cell>
          <cell r="H371">
            <v>1.6273219751707401E-6</v>
          </cell>
          <cell r="I371">
            <v>8.0665146058540399E-7</v>
          </cell>
        </row>
        <row r="372">
          <cell r="A372" t="str">
            <v>T_B_c-ICENGA-S1</v>
          </cell>
          <cell r="B372" t="str">
            <v>VAR_cap</v>
          </cell>
          <cell r="C372" t="str">
            <v>-</v>
          </cell>
          <cell r="H372">
            <v>2.6612838770203302E-6</v>
          </cell>
          <cell r="I372">
            <v>2.1595399403470369E-6</v>
          </cell>
          <cell r="J372">
            <v>1.1706640416405102E-7</v>
          </cell>
        </row>
        <row r="373">
          <cell r="A373" t="str">
            <v>TFLGV-FCLH2O</v>
          </cell>
          <cell r="B373" t="str">
            <v>VAR_fout</v>
          </cell>
          <cell r="C373" t="str">
            <v>TFLGV</v>
          </cell>
          <cell r="H373">
            <v>3.1229566077491057E-5</v>
          </cell>
          <cell r="I373">
            <v>2.8315231499195413E-5</v>
          </cell>
          <cell r="J373">
            <v>2.4637551719711161E-5</v>
          </cell>
        </row>
        <row r="374">
          <cell r="A374" t="str">
            <v>TFLGV-FCLH2O</v>
          </cell>
          <cell r="B374" t="str">
            <v>VAR_fin</v>
          </cell>
          <cell r="C374" t="str">
            <v>TH2O</v>
          </cell>
          <cell r="H374">
            <v>5.9084067526968736E-5</v>
          </cell>
          <cell r="I374">
            <v>5.0254057474641844E-5</v>
          </cell>
          <cell r="J374">
            <v>4.1676352031475102E-5</v>
          </cell>
        </row>
        <row r="375">
          <cell r="A375" t="str">
            <v>TFLGV-FCLH2O</v>
          </cell>
          <cell r="B375" t="str">
            <v>VAR_ncap</v>
          </cell>
          <cell r="C375" t="str">
            <v>-</v>
          </cell>
          <cell r="H375">
            <v>8.0365210556012599E-7</v>
          </cell>
          <cell r="I375">
            <v>9.0557583077277595E-7</v>
          </cell>
          <cell r="J375">
            <v>1.0333598925879799E-6</v>
          </cell>
        </row>
        <row r="376">
          <cell r="A376" t="str">
            <v>TFLGV-FCLH2O</v>
          </cell>
          <cell r="B376" t="str">
            <v>VAR_cap</v>
          </cell>
          <cell r="C376" t="str">
            <v>-</v>
          </cell>
          <cell r="H376">
            <v>1.7633552654974861E-6</v>
          </cell>
          <cell r="I376">
            <v>1.6470906631256899E-6</v>
          </cell>
          <cell r="J376">
            <v>1.62854277427869E-6</v>
          </cell>
        </row>
        <row r="377">
          <cell r="A377" t="str">
            <v>T_B_c-ICENGA-S2</v>
          </cell>
          <cell r="B377" t="str">
            <v>VAR_fout</v>
          </cell>
          <cell r="C377" t="str">
            <v>CO2_T</v>
          </cell>
          <cell r="H377">
            <v>6.6661976874143408E-2</v>
          </cell>
          <cell r="I377">
            <v>3.3871728452112941E-2</v>
          </cell>
          <cell r="J377">
            <v>3.8775758625557996E-3</v>
          </cell>
        </row>
        <row r="378">
          <cell r="A378" t="str">
            <v>T_B_c-ICENGA-S2</v>
          </cell>
          <cell r="B378" t="str">
            <v>VAR_fout</v>
          </cell>
          <cell r="C378" t="str">
            <v>TPBSc</v>
          </cell>
          <cell r="H378">
            <v>1.1360328215939821E-4</v>
          </cell>
          <cell r="I378">
            <v>6.1483628333994177E-5</v>
          </cell>
          <cell r="J378">
            <v>7.166917084736056E-6</v>
          </cell>
        </row>
        <row r="379">
          <cell r="A379" t="str">
            <v>T_B_c-ICENGA-S2</v>
          </cell>
          <cell r="B379" t="str">
            <v>VAR_fin</v>
          </cell>
          <cell r="C379" t="str">
            <v>TNGA</v>
          </cell>
          <cell r="H379">
            <v>1.1819499445770091E-3</v>
          </cell>
          <cell r="I379">
            <v>6.0056256120767627E-4</v>
          </cell>
          <cell r="J379">
            <v>6.8751345080776596E-5</v>
          </cell>
        </row>
        <row r="380">
          <cell r="A380" t="str">
            <v>T_B_c-ICENGA-S2</v>
          </cell>
          <cell r="B380" t="str">
            <v>VAR_ncap</v>
          </cell>
          <cell r="C380" t="str">
            <v>-</v>
          </cell>
          <cell r="H380">
            <v>7.6105094348749598E-7</v>
          </cell>
          <cell r="I380">
            <v>3.2930924434498999E-7</v>
          </cell>
        </row>
        <row r="381">
          <cell r="A381" t="str">
            <v>T_B_c-ICENGA-S2</v>
          </cell>
          <cell r="B381" t="str">
            <v>VAR_cap</v>
          </cell>
          <cell r="C381" t="str">
            <v>-</v>
          </cell>
          <cell r="H381">
            <v>2.4801341414369727E-6</v>
          </cell>
          <cell r="I381">
            <v>1.27462400240277E-6</v>
          </cell>
          <cell r="J381">
            <v>1.07869831457954E-7</v>
          </cell>
        </row>
        <row r="382">
          <cell r="A382" t="str">
            <v>T_B_u-ICEDSL-S1</v>
          </cell>
          <cell r="B382" t="str">
            <v>VAR_fout</v>
          </cell>
          <cell r="C382" t="str">
            <v>CO2_T</v>
          </cell>
          <cell r="H382">
            <v>0.59861718111986406</v>
          </cell>
          <cell r="I382">
            <v>35.144468192081881</v>
          </cell>
          <cell r="J382">
            <v>20.627709277596303</v>
          </cell>
        </row>
        <row r="383">
          <cell r="A383" t="str">
            <v>T_B_u-ICEDSL-S1</v>
          </cell>
          <cell r="B383" t="str">
            <v>VAR_fout</v>
          </cell>
          <cell r="C383" t="str">
            <v>TPBSu</v>
          </cell>
          <cell r="H383">
            <v>1.1576038241813767E-3</v>
          </cell>
          <cell r="I383">
            <v>7.8039593432105231E-2</v>
          </cell>
          <cell r="J383">
            <v>4.5806765552281664E-2</v>
          </cell>
        </row>
        <row r="384">
          <cell r="A384" t="str">
            <v>T_B_u-ICEDSL-S1</v>
          </cell>
          <cell r="B384" t="str">
            <v>VAR_fin</v>
          </cell>
          <cell r="C384" t="str">
            <v>TDSL</v>
          </cell>
          <cell r="H384">
            <v>8.1666736851277455E-3</v>
          </cell>
          <cell r="I384">
            <v>0.47946068474872944</v>
          </cell>
          <cell r="J384">
            <v>0.28141486054019427</v>
          </cell>
        </row>
        <row r="385">
          <cell r="A385" t="str">
            <v>T_B_u-ICEDSL-S1</v>
          </cell>
          <cell r="B385" t="str">
            <v>VAR_ncap</v>
          </cell>
          <cell r="C385" t="str">
            <v>-</v>
          </cell>
          <cell r="H385">
            <v>5.5301464667838896E-6</v>
          </cell>
          <cell r="I385">
            <v>2.09997011028858E-3</v>
          </cell>
        </row>
        <row r="386">
          <cell r="A386" t="str">
            <v>T_B_u-ICEDSL-S1</v>
          </cell>
          <cell r="B386" t="str">
            <v>VAR_cap</v>
          </cell>
          <cell r="C386" t="str">
            <v>-</v>
          </cell>
          <cell r="H386">
            <v>2.7643025089986993E-5</v>
          </cell>
          <cell r="I386">
            <v>2.1016872799377428E-3</v>
          </cell>
          <cell r="J386">
            <v>1.0534112827324078E-3</v>
          </cell>
        </row>
        <row r="387">
          <cell r="A387" t="str">
            <v>T_B_c-ICENGA-S3</v>
          </cell>
          <cell r="B387" t="str">
            <v>VAR_fout</v>
          </cell>
          <cell r="C387" t="str">
            <v>CO2_T</v>
          </cell>
          <cell r="H387">
            <v>7.1060879802480603E-2</v>
          </cell>
          <cell r="I387">
            <v>4.5077532898590199E-2</v>
          </cell>
          <cell r="J387">
            <v>3.2316453856396799E-3</v>
          </cell>
        </row>
        <row r="388">
          <cell r="A388" t="str">
            <v>T_B_c-ICENGA-S3</v>
          </cell>
          <cell r="B388" t="str">
            <v>VAR_fout</v>
          </cell>
          <cell r="C388" t="str">
            <v>TPBSc</v>
          </cell>
          <cell r="H388">
            <v>8.2988855860186906E-5</v>
          </cell>
          <cell r="I388">
            <v>5.4646289011391376E-5</v>
          </cell>
          <cell r="J388">
            <v>4.0658031858393996E-6</v>
          </cell>
        </row>
        <row r="389">
          <cell r="A389" t="str">
            <v>T_B_c-ICENGA-S3</v>
          </cell>
          <cell r="B389" t="str">
            <v>VAR_fin</v>
          </cell>
          <cell r="C389" t="str">
            <v>TNGA</v>
          </cell>
          <cell r="H389">
            <v>1.2599446773489454E-3</v>
          </cell>
          <cell r="I389">
            <v>7.9924703720904715E-4</v>
          </cell>
          <cell r="J389">
            <v>5.7298677050348924E-5</v>
          </cell>
        </row>
        <row r="390">
          <cell r="A390" t="str">
            <v>T_B_c-ICENGA-S3</v>
          </cell>
          <cell r="B390" t="str">
            <v>VAR_ncap</v>
          </cell>
          <cell r="C390" t="str">
            <v>-</v>
          </cell>
          <cell r="H390">
            <v>9.16657042317799E-7</v>
          </cell>
          <cell r="I390">
            <v>2.8022259254154298E-7</v>
          </cell>
        </row>
        <row r="391">
          <cell r="A391" t="str">
            <v>T_B_c-ICENGA-S3</v>
          </cell>
          <cell r="B391" t="str">
            <v>VAR_cap</v>
          </cell>
          <cell r="C391" t="str">
            <v>-</v>
          </cell>
          <cell r="H391">
            <v>1.8487413851443E-6</v>
          </cell>
          <cell r="I391">
            <v>1.1968796348593401E-6</v>
          </cell>
          <cell r="J391">
            <v>9.5982191763261306E-8</v>
          </cell>
        </row>
        <row r="392">
          <cell r="A392" t="str">
            <v>T_B_u-ICEDSL-S2</v>
          </cell>
          <cell r="B392" t="str">
            <v>VAR_fout</v>
          </cell>
          <cell r="C392" t="str">
            <v>CO2_T</v>
          </cell>
          <cell r="H392">
            <v>3.7030204244737162</v>
          </cell>
          <cell r="I392">
            <v>6.1621595989020617E-2</v>
          </cell>
          <cell r="J392">
            <v>2.790428094268721E-2</v>
          </cell>
        </row>
        <row r="393">
          <cell r="A393" t="str">
            <v>T_B_u-ICEDSL-S2</v>
          </cell>
          <cell r="B393" t="str">
            <v>VAR_fout</v>
          </cell>
          <cell r="C393" t="str">
            <v>TPBSu</v>
          </cell>
          <cell r="H393">
            <v>4.8225531264465401E-3</v>
          </cell>
          <cell r="I393">
            <v>9.3005700516611008E-5</v>
          </cell>
          <cell r="J393">
            <v>4.2801352961673654E-5</v>
          </cell>
        </row>
        <row r="394">
          <cell r="A394" t="str">
            <v>T_B_u-ICEDSL-S2</v>
          </cell>
          <cell r="B394" t="str">
            <v>VAR_fin</v>
          </cell>
          <cell r="C394" t="str">
            <v>TDSL</v>
          </cell>
          <cell r="H394">
            <v>5.0518696104689141E-2</v>
          </cell>
          <cell r="I394">
            <v>8.4067661649414246E-4</v>
          </cell>
          <cell r="J394">
            <v>3.8068596101892526E-4</v>
          </cell>
        </row>
        <row r="395">
          <cell r="A395" t="str">
            <v>T_B_u-ICEDSL-S2</v>
          </cell>
          <cell r="B395" t="str">
            <v>VAR_ncap</v>
          </cell>
          <cell r="C395" t="str">
            <v>-</v>
          </cell>
          <cell r="H395">
            <v>8.5550820198743999E-7</v>
          </cell>
          <cell r="I395">
            <v>1.3525421818153899E-6</v>
          </cell>
        </row>
        <row r="396">
          <cell r="A396" t="str">
            <v>T_B_u-ICEDSL-S2</v>
          </cell>
          <cell r="B396" t="str">
            <v>VAR_cap</v>
          </cell>
          <cell r="C396" t="str">
            <v>-</v>
          </cell>
          <cell r="H396">
            <v>9.1662551470328093E-5</v>
          </cell>
          <cell r="I396">
            <v>2.0974646324420282E-6</v>
          </cell>
          <cell r="J396">
            <v>8.0640094766756653E-7</v>
          </cell>
        </row>
        <row r="397">
          <cell r="A397" t="str">
            <v>T_B_c-ICENGA-S4</v>
          </cell>
          <cell r="B397" t="str">
            <v>VAR_fout</v>
          </cell>
          <cell r="C397" t="str">
            <v>CO2_T</v>
          </cell>
          <cell r="H397">
            <v>2.8099499741666379E-3</v>
          </cell>
          <cell r="I397">
            <v>5.3256610783292101E-3</v>
          </cell>
        </row>
        <row r="398">
          <cell r="A398" t="str">
            <v>T_B_c-ICENGA-S4</v>
          </cell>
          <cell r="B398" t="str">
            <v>VAR_fout</v>
          </cell>
          <cell r="C398" t="str">
            <v>TPBSc</v>
          </cell>
          <cell r="H398">
            <v>2.2366911058251206E-6</v>
          </cell>
          <cell r="I398">
            <v>4.3579421074420163E-6</v>
          </cell>
        </row>
        <row r="399">
          <cell r="A399" t="str">
            <v>T_B_c-ICENGA-S4</v>
          </cell>
          <cell r="B399" t="str">
            <v>VAR_fin</v>
          </cell>
          <cell r="C399" t="str">
            <v>TNGA</v>
          </cell>
          <cell r="H399">
            <v>4.9821808052600075E-5</v>
          </cell>
          <cell r="I399">
            <v>9.4426614863993034E-5</v>
          </cell>
        </row>
        <row r="400">
          <cell r="A400" t="str">
            <v>T_B_c-ICENGA-S4</v>
          </cell>
          <cell r="B400" t="str">
            <v>VAR_ncap</v>
          </cell>
          <cell r="C400" t="str">
            <v>-</v>
          </cell>
          <cell r="H400">
            <v>4.2768419570481601E-8</v>
          </cell>
          <cell r="I400">
            <v>1.62857861031259E-8</v>
          </cell>
        </row>
        <row r="401">
          <cell r="A401" t="str">
            <v>T_B_c-ICENGA-S4</v>
          </cell>
          <cell r="B401" t="str">
            <v>VAR_cap</v>
          </cell>
          <cell r="C401" t="str">
            <v>-</v>
          </cell>
          <cell r="H401">
            <v>5.0487189601390499E-8</v>
          </cell>
          <cell r="I401">
            <v>4.5496031155378697E-8</v>
          </cell>
          <cell r="J401">
            <v>2.8579703946929601E-9</v>
          </cell>
        </row>
        <row r="402">
          <cell r="A402" t="str">
            <v>T_B_u-ICEDSL-S3</v>
          </cell>
          <cell r="B402" t="str">
            <v>VAR_fout</v>
          </cell>
          <cell r="C402" t="str">
            <v>CO2_T</v>
          </cell>
          <cell r="H402">
            <v>91.30731548842391</v>
          </cell>
          <cell r="I402">
            <v>3.1749295565109498E-2</v>
          </cell>
          <cell r="J402">
            <v>1.02178471187396E-2</v>
          </cell>
        </row>
        <row r="403">
          <cell r="A403" t="str">
            <v>T_B_u-ICEDSL-S3</v>
          </cell>
          <cell r="B403" t="str">
            <v>VAR_fout</v>
          </cell>
          <cell r="C403" t="str">
            <v>TPBSu</v>
          </cell>
          <cell r="H403">
            <v>8.4925632675736037E-2</v>
          </cell>
          <cell r="I403">
            <v>3.2009195172097699E-5</v>
          </cell>
          <cell r="J403">
            <v>1.0478595613199237E-5</v>
          </cell>
        </row>
        <row r="404">
          <cell r="A404" t="str">
            <v>T_B_u-ICEDSL-S3</v>
          </cell>
          <cell r="B404" t="str">
            <v>VAR_fin</v>
          </cell>
          <cell r="C404" t="str">
            <v>TDSL</v>
          </cell>
          <cell r="H404">
            <v>1.2456659684641758</v>
          </cell>
          <cell r="I404">
            <v>4.3314182217066185E-4</v>
          </cell>
          <cell r="J404">
            <v>1.393976414562018E-4</v>
          </cell>
        </row>
        <row r="405">
          <cell r="A405" t="str">
            <v>T_B_u-ICEDSL-S3</v>
          </cell>
          <cell r="B405" t="str">
            <v>VAR_ncap</v>
          </cell>
          <cell r="C405" t="str">
            <v>-</v>
          </cell>
          <cell r="H405">
            <v>6.9379701312498701E-7</v>
          </cell>
          <cell r="I405">
            <v>3.90061857959713E-7</v>
          </cell>
        </row>
        <row r="406">
          <cell r="A406" t="str">
            <v>T_B_u-ICEDSL-S3</v>
          </cell>
          <cell r="B406" t="str">
            <v>VAR_cap</v>
          </cell>
          <cell r="C406" t="str">
            <v>-</v>
          </cell>
          <cell r="H406">
            <v>1.60155718437708E-3</v>
          </cell>
          <cell r="I406">
            <v>5.6338141159758904E-7</v>
          </cell>
          <cell r="J406">
            <v>1.3360447389577599E-7</v>
          </cell>
        </row>
        <row r="407">
          <cell r="A407" t="str">
            <v>T_B_u-ICEDSL-S4</v>
          </cell>
          <cell r="B407" t="str">
            <v>VAR_fout</v>
          </cell>
          <cell r="C407" t="str">
            <v>CO2_T</v>
          </cell>
          <cell r="H407">
            <v>8.4597311988397587E-3</v>
          </cell>
          <cell r="I407">
            <v>3.31202713786967E-3</v>
          </cell>
          <cell r="J407">
            <v>3.09389255130958E-3</v>
          </cell>
        </row>
        <row r="408">
          <cell r="A408" t="str">
            <v>T_B_u-ICEDSL-S4</v>
          </cell>
          <cell r="B408" t="str">
            <v>VAR_fout</v>
          </cell>
          <cell r="C408" t="str">
            <v>TPBSu</v>
          </cell>
          <cell r="H408">
            <v>5.4385043551015901E-6</v>
          </cell>
          <cell r="I408">
            <v>2.2103209633625294E-6</v>
          </cell>
          <cell r="J408">
            <v>2.1220876996320644E-6</v>
          </cell>
        </row>
        <row r="409">
          <cell r="A409" t="str">
            <v>T_B_u-ICEDSL-S4</v>
          </cell>
          <cell r="B409" t="str">
            <v>VAR_fin</v>
          </cell>
          <cell r="C409" t="str">
            <v>TDSL</v>
          </cell>
          <cell r="H409">
            <v>1.1541243108921901E-4</v>
          </cell>
          <cell r="I409">
            <v>4.5184544854975183E-5</v>
          </cell>
          <cell r="J409">
            <v>4.2208629622231603E-5</v>
          </cell>
        </row>
        <row r="410">
          <cell r="A410" t="str">
            <v>T_B_u-ICEDSL-S4</v>
          </cell>
          <cell r="B410" t="str">
            <v>VAR_ncap</v>
          </cell>
          <cell r="C410" t="str">
            <v>-</v>
          </cell>
          <cell r="H410">
            <v>3.5875389712911299E-8</v>
          </cell>
          <cell r="I410">
            <v>2.9639725052263201E-8</v>
          </cell>
        </row>
        <row r="411">
          <cell r="A411" t="str">
            <v>T_B_u-ICEDSL-S4</v>
          </cell>
          <cell r="B411" t="str">
            <v>VAR_cap</v>
          </cell>
          <cell r="C411" t="str">
            <v>-</v>
          </cell>
          <cell r="H411">
            <v>4.2653255417617402E-8</v>
          </cell>
          <cell r="I411">
            <v>4.5539505289866778E-8</v>
          </cell>
          <cell r="J411">
            <v>5.20143493042368E-9</v>
          </cell>
        </row>
        <row r="412">
          <cell r="A412" t="str">
            <v>D-TBDS1intl</v>
          </cell>
          <cell r="B412" t="str">
            <v>VAR_fout</v>
          </cell>
          <cell r="C412" t="str">
            <v>TKERintl_SAF</v>
          </cell>
          <cell r="H412">
            <v>17.5339273897706</v>
          </cell>
          <cell r="I412">
            <v>29.8067894999452</v>
          </cell>
          <cell r="J412">
            <v>80.055542526919794</v>
          </cell>
        </row>
        <row r="413">
          <cell r="A413" t="str">
            <v>D-TBDS1intl</v>
          </cell>
          <cell r="B413" t="str">
            <v>VAR_fin</v>
          </cell>
          <cell r="C413" t="str">
            <v>BDS1</v>
          </cell>
          <cell r="H413">
            <v>17.5339273897706</v>
          </cell>
          <cell r="I413">
            <v>29.8067894999452</v>
          </cell>
          <cell r="J413">
            <v>80.055542526919794</v>
          </cell>
        </row>
        <row r="414">
          <cell r="A414" t="str">
            <v>T_B_c-ICENGAEXT</v>
          </cell>
          <cell r="B414" t="str">
            <v>VAR_fout</v>
          </cell>
          <cell r="C414" t="str">
            <v>CO2_T</v>
          </cell>
        </row>
        <row r="415">
          <cell r="A415" t="str">
            <v>T_B_c-ICENGAEXT</v>
          </cell>
          <cell r="B415" t="str">
            <v>VAR_fout</v>
          </cell>
          <cell r="C415" t="str">
            <v>TPBSc</v>
          </cell>
        </row>
        <row r="416">
          <cell r="A416" t="str">
            <v>T_B_c-ICENGAEXT</v>
          </cell>
          <cell r="B416" t="str">
            <v>VAR_fin</v>
          </cell>
          <cell r="C416" t="str">
            <v>TNGA</v>
          </cell>
        </row>
        <row r="417">
          <cell r="A417" t="str">
            <v>T_B_c-ICENGAEXT</v>
          </cell>
          <cell r="B417" t="str">
            <v>VAR_cap</v>
          </cell>
          <cell r="C417" t="str">
            <v>-</v>
          </cell>
        </row>
        <row r="418">
          <cell r="A418" t="str">
            <v>T_B_u-ICEDSLEXT</v>
          </cell>
          <cell r="B418" t="str">
            <v>VAR_fout</v>
          </cell>
          <cell r="C418" t="str">
            <v>CO2_T</v>
          </cell>
        </row>
        <row r="419">
          <cell r="A419" t="str">
            <v>T_B_u-ICEDSLEXT</v>
          </cell>
          <cell r="B419" t="str">
            <v>VAR_fout</v>
          </cell>
          <cell r="C419" t="str">
            <v>TPBSu</v>
          </cell>
        </row>
        <row r="420">
          <cell r="A420" t="str">
            <v>T_B_u-ICEDSLEXT</v>
          </cell>
          <cell r="B420" t="str">
            <v>VAR_fin</v>
          </cell>
          <cell r="C420" t="str">
            <v>TDSL</v>
          </cell>
        </row>
        <row r="421">
          <cell r="A421" t="str">
            <v>T_B_u-ICEDSLEXT</v>
          </cell>
          <cell r="B421" t="str">
            <v>VAR_cap</v>
          </cell>
          <cell r="C421" t="str">
            <v>-</v>
          </cell>
        </row>
        <row r="422">
          <cell r="A422" t="str">
            <v>D-T-ELC-LGV</v>
          </cell>
          <cell r="B422" t="str">
            <v>VAR_fout</v>
          </cell>
          <cell r="C422" t="str">
            <v>T-ELC-LGV_BatSTGin</v>
          </cell>
          <cell r="H422">
            <v>5.9431627890107297</v>
          </cell>
          <cell r="I422">
            <v>7.3834041130478143</v>
          </cell>
          <cell r="J422">
            <v>8.2242693684375343</v>
          </cell>
        </row>
        <row r="423">
          <cell r="A423" t="str">
            <v>D-T-ELC-LGV</v>
          </cell>
          <cell r="B423" t="str">
            <v>VAR_fin</v>
          </cell>
          <cell r="C423" t="str">
            <v>TELC</v>
          </cell>
          <cell r="H423">
            <v>5.9431627890107297</v>
          </cell>
          <cell r="I423">
            <v>7.3834041130478143</v>
          </cell>
          <cell r="J423">
            <v>8.2242693684375343</v>
          </cell>
        </row>
        <row r="424">
          <cell r="A424" t="str">
            <v>D-T-ELC-LGV</v>
          </cell>
          <cell r="B424" t="str">
            <v>VAR_ncap</v>
          </cell>
          <cell r="C424" t="str">
            <v>-</v>
          </cell>
          <cell r="H424">
            <v>0.37208448532080901</v>
          </cell>
          <cell r="I424">
            <v>0.363387263453053</v>
          </cell>
          <cell r="J424">
            <v>0.62176139953692799</v>
          </cell>
        </row>
        <row r="425">
          <cell r="A425" t="str">
            <v>D-T-ELC-LGV</v>
          </cell>
          <cell r="B425" t="str">
            <v>VAR_cap</v>
          </cell>
          <cell r="C425" t="str">
            <v>-</v>
          </cell>
          <cell r="H425">
            <v>0.62818932220323598</v>
          </cell>
          <cell r="I425">
            <v>0.78042108371184504</v>
          </cell>
          <cell r="J425">
            <v>0.86929863339481706</v>
          </cell>
        </row>
        <row r="426">
          <cell r="A426" t="str">
            <v>T_B_c-FCLH2O-S1</v>
          </cell>
          <cell r="B426" t="str">
            <v>VAR_fout</v>
          </cell>
          <cell r="C426" t="str">
            <v>TPBSc</v>
          </cell>
          <cell r="H426">
            <v>9.2226782946184146E-7</v>
          </cell>
          <cell r="I426">
            <v>4.2534787950822202E-8</v>
          </cell>
          <cell r="J426">
            <v>2.2177467786724276E-7</v>
          </cell>
        </row>
        <row r="427">
          <cell r="A427" t="str">
            <v>T_B_c-FCLH2O-S1</v>
          </cell>
          <cell r="B427" t="str">
            <v>VAR_fin</v>
          </cell>
          <cell r="C427" t="str">
            <v>TH2O</v>
          </cell>
          <cell r="H427">
            <v>3.6647147588807281E-6</v>
          </cell>
          <cell r="I427">
            <v>1.581681296987736E-7</v>
          </cell>
          <cell r="J427">
            <v>7.3086601312548054E-7</v>
          </cell>
        </row>
        <row r="428">
          <cell r="A428" t="str">
            <v>T_B_c-FCLH2O-S1</v>
          </cell>
          <cell r="B428" t="str">
            <v>VAR_ncap</v>
          </cell>
          <cell r="C428" t="str">
            <v>-</v>
          </cell>
          <cell r="H428">
            <v>4.2984712622169997E-8</v>
          </cell>
          <cell r="I428">
            <v>2.6518812400060699E-8</v>
          </cell>
          <cell r="J428">
            <v>3.08162905798015E-8</v>
          </cell>
        </row>
        <row r="429">
          <cell r="A429" t="str">
            <v>T_B_c-FCLH2O-S1</v>
          </cell>
          <cell r="B429" t="str">
            <v>VAR_cap</v>
          </cell>
          <cell r="C429" t="str">
            <v>-</v>
          </cell>
          <cell r="H429">
            <v>6.1954913555353304E-8</v>
          </cell>
          <cell r="I429">
            <v>3.7661367471028898E-8</v>
          </cell>
          <cell r="J429">
            <v>5.16589438831491E-8</v>
          </cell>
        </row>
        <row r="430">
          <cell r="A430" t="str">
            <v>T_B_c-FCLH2O-S2</v>
          </cell>
          <cell r="B430" t="str">
            <v>VAR_fout</v>
          </cell>
          <cell r="C430" t="str">
            <v>TPBSc</v>
          </cell>
          <cell r="H430">
            <v>1.2040358919285335E-6</v>
          </cell>
          <cell r="I430">
            <v>5.3114861531928541E-7</v>
          </cell>
          <cell r="J430">
            <v>1.666427817259716E-6</v>
          </cell>
        </row>
        <row r="431">
          <cell r="A431" t="str">
            <v>T_B_c-FCLH2O-S2</v>
          </cell>
          <cell r="B431" t="str">
            <v>VAR_fin</v>
          </cell>
          <cell r="C431" t="str">
            <v>TH2O</v>
          </cell>
          <cell r="H431">
            <v>6.7722051713239371E-6</v>
          </cell>
          <cell r="I431">
            <v>3.1091965516500835E-6</v>
          </cell>
          <cell r="J431">
            <v>7.9592234309150535E-6</v>
          </cell>
        </row>
        <row r="432">
          <cell r="A432" t="str">
            <v>T_B_c-FCLH2O-S2</v>
          </cell>
          <cell r="B432" t="str">
            <v>VAR_ncap</v>
          </cell>
          <cell r="C432" t="str">
            <v>-</v>
          </cell>
          <cell r="H432">
            <v>1.15956911454445E-8</v>
          </cell>
          <cell r="J432">
            <v>1.18632982659723E-8</v>
          </cell>
        </row>
        <row r="433">
          <cell r="A433" t="str">
            <v>T_B_c-FCLH2O-S2</v>
          </cell>
          <cell r="B433" t="str">
            <v>VAR_cap</v>
          </cell>
          <cell r="C433" t="str">
            <v>-</v>
          </cell>
          <cell r="H433">
            <v>1.6144515244874596E-8</v>
          </cell>
          <cell r="I433">
            <v>1.1199745038001004E-9</v>
          </cell>
          <cell r="J433">
            <v>1.38982102923143E-8</v>
          </cell>
        </row>
        <row r="434">
          <cell r="A434" t="str">
            <v>T_B_c-FCLH2O-S3</v>
          </cell>
          <cell r="B434" t="str">
            <v>VAR_fout</v>
          </cell>
          <cell r="C434" t="str">
            <v>TPBSc</v>
          </cell>
          <cell r="H434">
            <v>1.1047304356272262E-6</v>
          </cell>
          <cell r="I434">
            <v>5.3112143206976429E-7</v>
          </cell>
          <cell r="J434">
            <v>1.0607800184911591E-6</v>
          </cell>
        </row>
        <row r="435">
          <cell r="A435" t="str">
            <v>T_B_c-FCLH2O-S3</v>
          </cell>
          <cell r="B435" t="str">
            <v>VAR_fin</v>
          </cell>
          <cell r="C435" t="str">
            <v>TH2O</v>
          </cell>
          <cell r="H435">
            <v>9.5983987956167809E-6</v>
          </cell>
          <cell r="I435">
            <v>4.0902966761112907E-6</v>
          </cell>
          <cell r="J435">
            <v>7.2363809611502786E-6</v>
          </cell>
        </row>
        <row r="436">
          <cell r="A436" t="str">
            <v>T_B_c-FCLH2O-S3</v>
          </cell>
          <cell r="B436" t="str">
            <v>VAR_ncap</v>
          </cell>
          <cell r="C436" t="str">
            <v>-</v>
          </cell>
          <cell r="H436">
            <v>3.0218897550510401E-8</v>
          </cell>
          <cell r="I436">
            <v>3.1084164549652301E-8</v>
          </cell>
          <cell r="J436">
            <v>3.83278323995981E-8</v>
          </cell>
        </row>
        <row r="437">
          <cell r="A437" t="str">
            <v>T_B_c-FCLH2O-S3</v>
          </cell>
          <cell r="B437" t="str">
            <v>VAR_cap</v>
          </cell>
          <cell r="C437" t="str">
            <v>-</v>
          </cell>
          <cell r="H437">
            <v>6.0975773337004803E-8</v>
          </cell>
          <cell r="I437">
            <v>4.9228009236072399E-8</v>
          </cell>
          <cell r="J437">
            <v>4.8974819195151301E-8</v>
          </cell>
        </row>
        <row r="438">
          <cell r="A438" t="str">
            <v>T_C-HYBGSLEXT</v>
          </cell>
          <cell r="B438" t="str">
            <v>VAR_fout</v>
          </cell>
          <cell r="C438" t="str">
            <v>CO2_T</v>
          </cell>
        </row>
        <row r="439">
          <cell r="A439" t="str">
            <v>T_C-HYBGSLEXT</v>
          </cell>
          <cell r="B439" t="str">
            <v>VAR_fout</v>
          </cell>
          <cell r="C439" t="str">
            <v>TPCAR</v>
          </cell>
        </row>
        <row r="440">
          <cell r="A440" t="str">
            <v>T_C-HYBGSLEXT</v>
          </cell>
          <cell r="B440" t="str">
            <v>VAR_fin</v>
          </cell>
          <cell r="C440" t="str">
            <v>TGSL</v>
          </cell>
        </row>
        <row r="441">
          <cell r="A441" t="str">
            <v>T_C-HYBGSLEXT</v>
          </cell>
          <cell r="B441" t="str">
            <v>VAR_cap</v>
          </cell>
          <cell r="C441" t="str">
            <v>-</v>
          </cell>
        </row>
        <row r="442">
          <cell r="A442" t="str">
            <v>T_B_c-FCLH2O-S4</v>
          </cell>
          <cell r="B442" t="str">
            <v>VAR_fout</v>
          </cell>
          <cell r="C442" t="str">
            <v>TPBSc</v>
          </cell>
          <cell r="H442">
            <v>1.356963158663884E-7</v>
          </cell>
        </row>
        <row r="443">
          <cell r="A443" t="str">
            <v>T_B_c-FCLH2O-S4</v>
          </cell>
          <cell r="B443" t="str">
            <v>VAR_fin</v>
          </cell>
          <cell r="C443" t="str">
            <v>TH2O</v>
          </cell>
          <cell r="H443">
            <v>1.7879091572111108E-6</v>
          </cell>
        </row>
        <row r="444">
          <cell r="A444" t="str">
            <v>T_B_c-FCLH2O-S4</v>
          </cell>
          <cell r="B444" t="str">
            <v>VAR_ncap</v>
          </cell>
          <cell r="C444" t="str">
            <v>-</v>
          </cell>
        </row>
        <row r="445">
          <cell r="A445" t="str">
            <v>T_B_c-FCLH2O-S4</v>
          </cell>
          <cell r="B445" t="str">
            <v>VAR_cap</v>
          </cell>
          <cell r="C445" t="str">
            <v>-</v>
          </cell>
          <cell r="H445">
            <v>5.1873701165017702E-9</v>
          </cell>
          <cell r="I445">
            <v>-8.9624858385624492E-9</v>
          </cell>
        </row>
        <row r="446">
          <cell r="A446" t="str">
            <v>TPAVDKEREXT</v>
          </cell>
          <cell r="B446" t="str">
            <v>VAR_fout</v>
          </cell>
          <cell r="C446" t="str">
            <v>CO2_T</v>
          </cell>
          <cell r="H446">
            <v>185.675788544743</v>
          </cell>
          <cell r="I446">
            <v>154.38211110512901</v>
          </cell>
          <cell r="J446">
            <v>123.088433665514</v>
          </cell>
        </row>
        <row r="447">
          <cell r="A447" t="str">
            <v>TPAVDKEREXT</v>
          </cell>
          <cell r="B447" t="str">
            <v>VAR_fout</v>
          </cell>
          <cell r="C447" t="str">
            <v>TPAVD</v>
          </cell>
          <cell r="H447">
            <v>2.5504916008893299</v>
          </cell>
          <cell r="I447">
            <v>2.1206333943012199</v>
          </cell>
          <cell r="J447">
            <v>1.6907751877131001</v>
          </cell>
        </row>
        <row r="448">
          <cell r="A448" t="str">
            <v>TPAVDKEREXT</v>
          </cell>
          <cell r="B448" t="str">
            <v>VAR_fin</v>
          </cell>
          <cell r="C448" t="str">
            <v>TKER</v>
          </cell>
          <cell r="H448">
            <v>2.5504916008893299</v>
          </cell>
          <cell r="I448">
            <v>2.1206333943012199</v>
          </cell>
          <cell r="J448">
            <v>1.6907751877131001</v>
          </cell>
        </row>
        <row r="449">
          <cell r="A449" t="str">
            <v>TPAVDKEREXT</v>
          </cell>
          <cell r="B449" t="str">
            <v>VAR_ncap</v>
          </cell>
          <cell r="C449" t="str">
            <v>-</v>
          </cell>
          <cell r="H449">
            <v>1.60334357915714</v>
          </cell>
          <cell r="I449">
            <v>1.3156237572195899</v>
          </cell>
          <cell r="J449">
            <v>1.2130615311762201</v>
          </cell>
        </row>
        <row r="450">
          <cell r="A450" t="str">
            <v>TPAVDKEREXT</v>
          </cell>
          <cell r="B450" t="str">
            <v>VAR_cap</v>
          </cell>
          <cell r="C450" t="str">
            <v>-</v>
          </cell>
          <cell r="H450">
            <v>5.9859000872685719</v>
          </cell>
          <cell r="I450">
            <v>4.0394251345153256</v>
          </cell>
          <cell r="J450">
            <v>2.4008240190915204</v>
          </cell>
        </row>
        <row r="451">
          <cell r="A451" t="str">
            <v>T_C-ICE-GSL-S1</v>
          </cell>
          <cell r="B451" t="str">
            <v>VAR_fout</v>
          </cell>
          <cell r="C451" t="str">
            <v>CO2_T</v>
          </cell>
          <cell r="H451">
            <v>47.311150236179536</v>
          </cell>
          <cell r="I451">
            <v>6.2489452026634096</v>
          </cell>
        </row>
        <row r="452">
          <cell r="A452" t="str">
            <v>T_C-ICE-GSL-S1</v>
          </cell>
          <cell r="B452" t="str">
            <v>VAR_fout</v>
          </cell>
          <cell r="C452" t="str">
            <v>TPCAR</v>
          </cell>
          <cell r="H452">
            <v>0.38424236402713358</v>
          </cell>
          <cell r="I452">
            <v>5.0717057625629218E-2</v>
          </cell>
        </row>
        <row r="453">
          <cell r="A453" t="str">
            <v>T_C-ICE-GSL-S1</v>
          </cell>
          <cell r="B453" t="str">
            <v>VAR_fin</v>
          </cell>
          <cell r="C453" t="str">
            <v>TGSL</v>
          </cell>
          <cell r="H453">
            <v>0.64107249642519604</v>
          </cell>
          <cell r="I453">
            <v>8.4674054236631546E-2</v>
          </cell>
        </row>
        <row r="454">
          <cell r="A454" t="str">
            <v>T_C-ICE-GSL-S1</v>
          </cell>
          <cell r="B454" t="str">
            <v>VAR_ncap</v>
          </cell>
          <cell r="C454" t="str">
            <v>-</v>
          </cell>
        </row>
        <row r="455">
          <cell r="A455" t="str">
            <v>T_C-ICE-GSL-S1</v>
          </cell>
          <cell r="B455" t="str">
            <v>VAR_cap</v>
          </cell>
          <cell r="C455" t="str">
            <v>-</v>
          </cell>
          <cell r="H455">
            <v>5.8375917007610238E-2</v>
          </cell>
          <cell r="I455">
            <v>7.7034775206937462E-3</v>
          </cell>
        </row>
        <row r="456">
          <cell r="A456" t="str">
            <v>V2G</v>
          </cell>
          <cell r="B456" t="str">
            <v>VAR_fout</v>
          </cell>
          <cell r="C456" t="str">
            <v>ELC35</v>
          </cell>
          <cell r="H456">
            <v>0.28389928025259697</v>
          </cell>
          <cell r="I456">
            <v>1.6512095606117636</v>
          </cell>
          <cell r="J456">
            <v>1.7497995653649496</v>
          </cell>
        </row>
        <row r="457">
          <cell r="A457" t="str">
            <v>V2G</v>
          </cell>
          <cell r="B457" t="str">
            <v>VAR_fin</v>
          </cell>
          <cell r="C457" t="str">
            <v>T-ELC-Bus_c_BatSTGout_S1</v>
          </cell>
          <cell r="H457">
            <v>4.4439677169817145E-3</v>
          </cell>
          <cell r="I457">
            <v>1.4923103415985654E-3</v>
          </cell>
          <cell r="J457">
            <v>7.2521941861651497E-4</v>
          </cell>
        </row>
        <row r="458">
          <cell r="A458" t="str">
            <v>V2G</v>
          </cell>
          <cell r="B458" t="str">
            <v>VAR_fin</v>
          </cell>
          <cell r="C458" t="str">
            <v>T-ELC-Bus_c_BatSTGout_S2</v>
          </cell>
          <cell r="H458">
            <v>4.0059402330297434E-3</v>
          </cell>
          <cell r="I458">
            <v>1.9358053010656699E-3</v>
          </cell>
          <cell r="J458">
            <v>7.249673290635547E-4</v>
          </cell>
        </row>
        <row r="459">
          <cell r="A459" t="str">
            <v>V2G</v>
          </cell>
          <cell r="B459" t="str">
            <v>VAR_fin</v>
          </cell>
          <cell r="C459" t="str">
            <v>T-ELC-Bus_c_BatSTGout_S3</v>
          </cell>
          <cell r="H459">
            <v>1.9382340129981161E-3</v>
          </cell>
          <cell r="I459">
            <v>1.267147695468196E-3</v>
          </cell>
          <cell r="J459">
            <v>6.2582926602992341E-4</v>
          </cell>
        </row>
        <row r="460">
          <cell r="A460" t="str">
            <v>V2G</v>
          </cell>
          <cell r="B460" t="str">
            <v>VAR_fin</v>
          </cell>
          <cell r="C460" t="str">
            <v>T-ELC-Bus_c_BatSTGout_S4</v>
          </cell>
          <cell r="H460">
            <v>6.0685469156937836E-4</v>
          </cell>
          <cell r="I460">
            <v>7.5191431013483113E-4</v>
          </cell>
          <cell r="J460">
            <v>4.2780089739338648E-4</v>
          </cell>
        </row>
        <row r="461">
          <cell r="A461" t="str">
            <v>V2G</v>
          </cell>
          <cell r="B461" t="str">
            <v>VAR_fin</v>
          </cell>
          <cell r="C461" t="str">
            <v>T-ELC-car-BatSTGOut_S1</v>
          </cell>
          <cell r="H461">
            <v>6.1098397322172107E-2</v>
          </cell>
          <cell r="I461">
            <v>0.62173164318243257</v>
          </cell>
          <cell r="J461">
            <v>0.58489994812739965</v>
          </cell>
        </row>
        <row r="462">
          <cell r="A462" t="str">
            <v>V2G</v>
          </cell>
          <cell r="B462" t="str">
            <v>VAR_fin</v>
          </cell>
          <cell r="C462" t="str">
            <v>T-ELC-car-BatSTGOut_S2</v>
          </cell>
          <cell r="H462">
            <v>2.9489048673324966E-2</v>
          </cell>
          <cell r="I462">
            <v>0.20421693916633965</v>
          </cell>
          <cell r="J462">
            <v>0.19827373167316539</v>
          </cell>
        </row>
        <row r="463">
          <cell r="A463" t="str">
            <v>V2G</v>
          </cell>
          <cell r="B463" t="str">
            <v>VAR_fin</v>
          </cell>
          <cell r="C463" t="str">
            <v>T-ELC-car-BatSTGOut_S3</v>
          </cell>
          <cell r="H463">
            <v>3.498904947094484E-2</v>
          </cell>
          <cell r="I463">
            <v>0.20325267998058677</v>
          </cell>
          <cell r="J463">
            <v>0.1959600561908294</v>
          </cell>
        </row>
        <row r="464">
          <cell r="A464" t="str">
            <v>V2G</v>
          </cell>
          <cell r="B464" t="str">
            <v>VAR_fin</v>
          </cell>
          <cell r="C464" t="str">
            <v>T-ELC-car-BatSTGOut_S4</v>
          </cell>
          <cell r="H464">
            <v>2.8160734293483494E-2</v>
          </cell>
          <cell r="I464">
            <v>0.20512193507223642</v>
          </cell>
          <cell r="J464">
            <v>0.19103552103452592</v>
          </cell>
        </row>
        <row r="465">
          <cell r="A465" t="str">
            <v>V2G</v>
          </cell>
          <cell r="B465" t="str">
            <v>VAR_fin</v>
          </cell>
          <cell r="C465" t="str">
            <v>T-ELC-car-PlgSTGOut_S1</v>
          </cell>
          <cell r="H465">
            <v>7.3938080077003933E-3</v>
          </cell>
          <cell r="I465">
            <v>5.5573627549670929E-3</v>
          </cell>
          <cell r="J465">
            <v>8.9464114206082139E-4</v>
          </cell>
        </row>
        <row r="466">
          <cell r="A466" t="str">
            <v>V2G</v>
          </cell>
          <cell r="B466" t="str">
            <v>VAR_fin</v>
          </cell>
          <cell r="C466" t="str">
            <v>T-ELC-car-PlgSTGOut_S2</v>
          </cell>
          <cell r="H466">
            <v>7.3235336293940589E-4</v>
          </cell>
          <cell r="I466">
            <v>7.4596521845137441E-4</v>
          </cell>
          <cell r="J466">
            <v>2.227014265914447E-3</v>
          </cell>
        </row>
        <row r="467">
          <cell r="A467" t="str">
            <v>V2G</v>
          </cell>
          <cell r="B467" t="str">
            <v>VAR_fin</v>
          </cell>
          <cell r="C467" t="str">
            <v>T-ELC-car-PlgSTGOut_S3</v>
          </cell>
          <cell r="H467">
            <v>4.7578334308070194E-2</v>
          </cell>
          <cell r="I467">
            <v>0.28568551585606106</v>
          </cell>
          <cell r="J467">
            <v>0.49746170208365403</v>
          </cell>
        </row>
        <row r="468">
          <cell r="A468" t="str">
            <v>V2G</v>
          </cell>
          <cell r="B468" t="str">
            <v>VAR_fin</v>
          </cell>
          <cell r="C468" t="str">
            <v>T-ELC-TWSTGout_S1</v>
          </cell>
          <cell r="H468">
            <v>3.1095329932678268E-3</v>
          </cell>
          <cell r="I468">
            <v>2.7655707803757746E-3</v>
          </cell>
          <cell r="J468">
            <v>1.8011186669536689E-3</v>
          </cell>
        </row>
        <row r="469">
          <cell r="A469" t="str">
            <v>V2G</v>
          </cell>
          <cell r="B469" t="str">
            <v>VAR_fin</v>
          </cell>
          <cell r="C469" t="str">
            <v>T-ELC-car-PlgSTGOut_S4</v>
          </cell>
          <cell r="H469">
            <v>6.1622855438607568E-3</v>
          </cell>
          <cell r="I469">
            <v>1.1126770981744158E-2</v>
          </cell>
          <cell r="J469">
            <v>2.5779726908306006E-3</v>
          </cell>
        </row>
        <row r="470">
          <cell r="A470" t="str">
            <v>V2G</v>
          </cell>
          <cell r="B470" t="str">
            <v>VAR_fin</v>
          </cell>
          <cell r="C470" t="str">
            <v>T-ELC-TWSTGout_S2</v>
          </cell>
          <cell r="H470">
            <v>8.7979855196485823E-3</v>
          </cell>
          <cell r="I470">
            <v>7.6830129671891833E-3</v>
          </cell>
          <cell r="J470">
            <v>4.9645663614544715E-3</v>
          </cell>
        </row>
        <row r="471">
          <cell r="A471" t="str">
            <v>V2G</v>
          </cell>
          <cell r="B471" t="str">
            <v>VAR_fin</v>
          </cell>
          <cell r="C471" t="str">
            <v>T-ELC-TWSTGout_S3</v>
          </cell>
          <cell r="H471">
            <v>1.3212815712887701E-2</v>
          </cell>
          <cell r="I471">
            <v>1.2492528048834058E-2</v>
          </cell>
          <cell r="J471">
            <v>8.2271468620003438E-3</v>
          </cell>
        </row>
        <row r="472">
          <cell r="A472" t="str">
            <v>V2G</v>
          </cell>
          <cell r="B472" t="str">
            <v>VAR_fin</v>
          </cell>
          <cell r="C472" t="str">
            <v>T-ELC-TWSTGout_S4</v>
          </cell>
          <cell r="H472">
            <v>1.3330216651131013E-2</v>
          </cell>
          <cell r="I472">
            <v>1.4731367774759835E-2</v>
          </cell>
          <cell r="J472">
            <v>1.2149458403819379E-2</v>
          </cell>
        </row>
        <row r="473">
          <cell r="A473" t="str">
            <v>V2G</v>
          </cell>
          <cell r="B473" t="str">
            <v>VAR_fin</v>
          </cell>
          <cell r="C473" t="str">
            <v>T-ELC-Bus_u_BatSTGout_S1</v>
          </cell>
          <cell r="H473">
            <v>4.9401299025190071E-4</v>
          </cell>
          <cell r="I473">
            <v>5.9246087456066136E-4</v>
          </cell>
          <cell r="J473">
            <v>2.9637050120104476E-4</v>
          </cell>
        </row>
        <row r="474">
          <cell r="A474" t="str">
            <v>V2G</v>
          </cell>
          <cell r="B474" t="str">
            <v>VAR_fin</v>
          </cell>
          <cell r="C474" t="str">
            <v>T-ELC-Bus_u_BatSTGout_S2</v>
          </cell>
          <cell r="H474">
            <v>4.9104198928650764E-4</v>
          </cell>
          <cell r="I474">
            <v>3.9162083355490443E-4</v>
          </cell>
          <cell r="J474">
            <v>2.6552507038727556E-4</v>
          </cell>
        </row>
        <row r="475">
          <cell r="A475" t="str">
            <v>V2G</v>
          </cell>
          <cell r="B475" t="str">
            <v>VAR_fin</v>
          </cell>
          <cell r="C475" t="str">
            <v>T-ELC-Bus_u_BatSTGout_S3</v>
          </cell>
          <cell r="H475">
            <v>2.0638159355993043E-4</v>
          </cell>
          <cell r="I475">
            <v>1.7252652964234086E-4</v>
          </cell>
          <cell r="J475">
            <v>1.3606641407934683E-4</v>
          </cell>
        </row>
        <row r="476">
          <cell r="A476" t="str">
            <v>V2G</v>
          </cell>
          <cell r="B476" t="str">
            <v>VAR_fin</v>
          </cell>
          <cell r="C476" t="str">
            <v>T-ELC-Bus_u_BatSTGout_S4</v>
          </cell>
          <cell r="H476">
            <v>4.1754023286043427E-4</v>
          </cell>
          <cell r="I476">
            <v>5.0120444413555428E-4</v>
          </cell>
          <cell r="J476">
            <v>2.7349443963804E-4</v>
          </cell>
        </row>
        <row r="477">
          <cell r="A477" t="str">
            <v>V2G</v>
          </cell>
          <cell r="B477" t="str">
            <v>VAR_fin</v>
          </cell>
          <cell r="C477" t="str">
            <v>T-ELC-LGV_BatSTGout</v>
          </cell>
          <cell r="H477">
            <v>1.2338889665498643E-3</v>
          </cell>
          <cell r="I477">
            <v>1.0556241159764873E-3</v>
          </cell>
          <cell r="J477">
            <v>5.7755026852629324E-4</v>
          </cell>
        </row>
        <row r="478">
          <cell r="A478" t="str">
            <v>V2G</v>
          </cell>
          <cell r="B478" t="str">
            <v>VAR_fin</v>
          </cell>
          <cell r="C478" t="str">
            <v>T-ELC-HGV_BatSTGout</v>
          </cell>
          <cell r="H478">
            <v>1.6326415103811991E-2</v>
          </cell>
          <cell r="I478">
            <v>6.8233542827145541E-2</v>
          </cell>
          <cell r="J478">
            <v>4.5517190352614686E-2</v>
          </cell>
        </row>
        <row r="479">
          <cell r="A479" t="str">
            <v>V2G</v>
          </cell>
          <cell r="B479" t="str">
            <v>VAR_ncap</v>
          </cell>
          <cell r="C479" t="str">
            <v>-</v>
          </cell>
          <cell r="H479">
            <v>0.97609759322016398</v>
          </cell>
          <cell r="I479">
            <v>4.6364301792241003</v>
          </cell>
          <cell r="J479">
            <v>2.5745122414247898</v>
          </cell>
        </row>
        <row r="480">
          <cell r="A480" t="str">
            <v>V2G</v>
          </cell>
          <cell r="B480" t="str">
            <v>VAR_cap</v>
          </cell>
          <cell r="C480" t="str">
            <v>-</v>
          </cell>
          <cell r="H480">
            <v>0.99005398565385938</v>
          </cell>
          <cell r="I480">
            <v>5.6220406878359022</v>
          </cell>
          <cell r="J480">
            <v>6.3521967895869986</v>
          </cell>
        </row>
        <row r="481">
          <cell r="A481" t="str">
            <v>TPSHPELCEXT</v>
          </cell>
          <cell r="B481" t="str">
            <v>VAR_fout</v>
          </cell>
          <cell r="C481" t="str">
            <v>TPSHP</v>
          </cell>
          <cell r="H481">
            <v>2.9557067347686501</v>
          </cell>
          <cell r="I481">
            <v>8.5439129740705901</v>
          </cell>
          <cell r="J481">
            <v>13.9686657332023</v>
          </cell>
        </row>
        <row r="482">
          <cell r="A482" t="str">
            <v>TPSHPELCEXT</v>
          </cell>
          <cell r="B482" t="str">
            <v>VAR_fin</v>
          </cell>
          <cell r="C482" t="str">
            <v>TELC</v>
          </cell>
          <cell r="H482">
            <v>1.1979075753247361</v>
          </cell>
          <cell r="I482">
            <v>3.4627312494030518</v>
          </cell>
          <cell r="J482">
            <v>5.6613094601524807</v>
          </cell>
        </row>
        <row r="483">
          <cell r="A483" t="str">
            <v>TPSHPELCEXT</v>
          </cell>
          <cell r="B483" t="str">
            <v>VAR_ncap</v>
          </cell>
          <cell r="C483" t="str">
            <v>-</v>
          </cell>
          <cell r="H483">
            <v>3.2888271468907501E-5</v>
          </cell>
          <cell r="I483">
            <v>5.6312728879100904</v>
          </cell>
          <cell r="J483">
            <v>7.6130238922483802</v>
          </cell>
        </row>
        <row r="484">
          <cell r="A484" t="str">
            <v>TPSHPELCEXT</v>
          </cell>
          <cell r="B484" t="str">
            <v>VAR_cap</v>
          </cell>
          <cell r="C484" t="str">
            <v>-</v>
          </cell>
          <cell r="H484">
            <v>2.955658697434095</v>
          </cell>
          <cell r="I484">
            <v>8.5438334395512516</v>
          </cell>
          <cell r="J484">
            <v>13.968615975917622</v>
          </cell>
        </row>
        <row r="485">
          <cell r="A485" t="str">
            <v>TFLGV-ICEGSL</v>
          </cell>
          <cell r="B485" t="str">
            <v>VAR_fout</v>
          </cell>
          <cell r="C485" t="str">
            <v>CO2_T</v>
          </cell>
          <cell r="H485">
            <v>75.285572270718092</v>
          </cell>
          <cell r="I485">
            <v>10.876288592937</v>
          </cell>
        </row>
        <row r="486">
          <cell r="A486" t="str">
            <v>TFLGV-ICEGSL</v>
          </cell>
          <cell r="B486" t="str">
            <v>VAR_fout</v>
          </cell>
          <cell r="C486" t="str">
            <v>TFLGV</v>
          </cell>
          <cell r="H486">
            <v>0.35829976083473491</v>
          </cell>
          <cell r="I486">
            <v>5.1762528783148902E-2</v>
          </cell>
        </row>
        <row r="487">
          <cell r="A487" t="str">
            <v>TFLGV-ICEGSL</v>
          </cell>
          <cell r="B487" t="str">
            <v>VAR_fin</v>
          </cell>
          <cell r="C487" t="str">
            <v>TGSL</v>
          </cell>
          <cell r="H487">
            <v>1.0201297055652856</v>
          </cell>
          <cell r="I487">
            <v>0.1473751841861381</v>
          </cell>
        </row>
        <row r="488">
          <cell r="A488" t="str">
            <v>TFLGV-ICEGSL</v>
          </cell>
          <cell r="B488" t="str">
            <v>VAR_ncap</v>
          </cell>
          <cell r="C488" t="str">
            <v>-</v>
          </cell>
        </row>
        <row r="489">
          <cell r="A489" t="str">
            <v>TFLGV-ICEGSL</v>
          </cell>
          <cell r="B489" t="str">
            <v>VAR_cap</v>
          </cell>
          <cell r="C489" t="str">
            <v>-</v>
          </cell>
          <cell r="H489">
            <v>3.562363867300259E-2</v>
          </cell>
          <cell r="I489">
            <v>5.1504556039536162E-3</v>
          </cell>
        </row>
        <row r="490">
          <cell r="A490" t="str">
            <v>T_C-ICE-GSL-S2</v>
          </cell>
          <cell r="B490" t="str">
            <v>VAR_fout</v>
          </cell>
          <cell r="C490" t="str">
            <v>CO2_T</v>
          </cell>
          <cell r="H490">
            <v>46.049523804346805</v>
          </cell>
          <cell r="I490">
            <v>4.6297154893766512</v>
          </cell>
        </row>
        <row r="491">
          <cell r="A491" t="str">
            <v>T_C-ICE-GSL-S2</v>
          </cell>
          <cell r="B491" t="str">
            <v>VAR_fout</v>
          </cell>
          <cell r="C491" t="str">
            <v>TPCAR</v>
          </cell>
          <cell r="H491">
            <v>0.35409355251978308</v>
          </cell>
          <cell r="I491">
            <v>3.4712542295377104E-2</v>
          </cell>
        </row>
        <row r="492">
          <cell r="A492" t="str">
            <v>T_C-ICE-GSL-S2</v>
          </cell>
          <cell r="B492" t="str">
            <v>VAR_fin</v>
          </cell>
          <cell r="C492" t="str">
            <v>TGSL</v>
          </cell>
          <cell r="H492">
            <v>0.62397728732177182</v>
          </cell>
          <cell r="I492">
            <v>6.2733272213775726E-2</v>
          </cell>
        </row>
        <row r="493">
          <cell r="A493" t="str">
            <v>T_C-ICE-GSL-S2</v>
          </cell>
          <cell r="B493" t="str">
            <v>VAR_ncap</v>
          </cell>
          <cell r="C493" t="str">
            <v>-</v>
          </cell>
        </row>
        <row r="494">
          <cell r="A494" t="str">
            <v>T_C-ICE-GSL-S2</v>
          </cell>
          <cell r="B494" t="str">
            <v>VAR_cap</v>
          </cell>
          <cell r="C494" t="str">
            <v>-</v>
          </cell>
          <cell r="H494">
            <v>3.7262943048697164E-2</v>
          </cell>
          <cell r="I494">
            <v>3.6549135572908763E-3</v>
          </cell>
        </row>
        <row r="495">
          <cell r="A495" t="str">
            <v>T_C-ICE-DSL-S1</v>
          </cell>
          <cell r="B495" t="str">
            <v>VAR_fout</v>
          </cell>
          <cell r="C495" t="str">
            <v>CO2_T</v>
          </cell>
          <cell r="H495">
            <v>9.722517970763736E-2</v>
          </cell>
          <cell r="I495">
            <v>1.767873457238979E-2</v>
          </cell>
        </row>
        <row r="496">
          <cell r="A496" t="str">
            <v>T_C-ICE-DSL-S1</v>
          </cell>
          <cell r="B496" t="str">
            <v>VAR_fout</v>
          </cell>
          <cell r="C496" t="str">
            <v>TPCAR</v>
          </cell>
          <cell r="H496">
            <v>1.0782188534646942E-3</v>
          </cell>
          <cell r="I496">
            <v>1.6425582998187563E-4</v>
          </cell>
        </row>
        <row r="497">
          <cell r="A497" t="str">
            <v>T_C-ICE-DSL-S1</v>
          </cell>
          <cell r="B497" t="str">
            <v>VAR_fin</v>
          </cell>
          <cell r="C497" t="str">
            <v>TDSL</v>
          </cell>
          <cell r="H497">
            <v>1.3264008145653099E-3</v>
          </cell>
          <cell r="I497">
            <v>2.4118328202441737E-4</v>
          </cell>
        </row>
        <row r="498">
          <cell r="A498" t="str">
            <v>T_C-ICE-DSL-S1</v>
          </cell>
          <cell r="B498" t="str">
            <v>VAR_ncap</v>
          </cell>
          <cell r="C498" t="str">
            <v>-</v>
          </cell>
        </row>
        <row r="499">
          <cell r="A499" t="str">
            <v>T_C-ICE-DSL-S1</v>
          </cell>
          <cell r="B499" t="str">
            <v>VAR_cap</v>
          </cell>
          <cell r="C499" t="str">
            <v>-</v>
          </cell>
          <cell r="H499">
            <v>1.5293640456194972E-4</v>
          </cell>
          <cell r="I499">
            <v>2.257079602913918E-5</v>
          </cell>
        </row>
        <row r="500">
          <cell r="A500" t="str">
            <v>T_C-ICE-GSL-S3</v>
          </cell>
          <cell r="B500" t="str">
            <v>VAR_fout</v>
          </cell>
          <cell r="C500" t="str">
            <v>CO2_T</v>
          </cell>
          <cell r="H500">
            <v>20.586990888203093</v>
          </cell>
          <cell r="I500">
            <v>0.17473106776698868</v>
          </cell>
        </row>
        <row r="501">
          <cell r="A501" t="str">
            <v>T_C-ICE-GSL-S3</v>
          </cell>
          <cell r="B501" t="str">
            <v>VAR_fout</v>
          </cell>
          <cell r="C501" t="str">
            <v>TPCAR</v>
          </cell>
          <cell r="H501">
            <v>0.14387662507095586</v>
          </cell>
          <cell r="I501">
            <v>1.1306202424318024E-3</v>
          </cell>
        </row>
        <row r="502">
          <cell r="A502" t="str">
            <v>T_C-ICE-GSL-S3</v>
          </cell>
          <cell r="B502" t="str">
            <v>VAR_fin</v>
          </cell>
          <cell r="C502" t="str">
            <v>TGSL</v>
          </cell>
          <cell r="H502">
            <v>0.27895651610031325</v>
          </cell>
          <cell r="I502">
            <v>2.367629644539143E-3</v>
          </cell>
        </row>
        <row r="503">
          <cell r="A503" t="str">
            <v>T_C-ICE-GSL-S3</v>
          </cell>
          <cell r="B503" t="str">
            <v>VAR_ncap</v>
          </cell>
          <cell r="C503" t="str">
            <v>-</v>
          </cell>
        </row>
        <row r="504">
          <cell r="A504" t="str">
            <v>T_C-ICE-GSL-S3</v>
          </cell>
          <cell r="B504" t="str">
            <v>VAR_cap</v>
          </cell>
          <cell r="C504" t="str">
            <v>-</v>
          </cell>
          <cell r="H504">
            <v>9.9537684397670301E-3</v>
          </cell>
          <cell r="I504">
            <v>1.0417640487303333E-4</v>
          </cell>
        </row>
        <row r="505">
          <cell r="A505" t="str">
            <v>T_C-ICE-DSL-S2</v>
          </cell>
          <cell r="B505" t="str">
            <v>VAR_fout</v>
          </cell>
          <cell r="C505" t="str">
            <v>CO2_T</v>
          </cell>
          <cell r="H505">
            <v>1.6010511120843831</v>
          </cell>
          <cell r="I505">
            <v>1.6307021596399161E-2</v>
          </cell>
        </row>
        <row r="506">
          <cell r="A506" t="str">
            <v>T_C-ICE-DSL-S2</v>
          </cell>
          <cell r="B506" t="str">
            <v>VAR_fout</v>
          </cell>
          <cell r="C506" t="str">
            <v>TPCAR</v>
          </cell>
          <cell r="H506">
            <v>1.7989587467120226E-2</v>
          </cell>
          <cell r="I506">
            <v>1.2586333692310257E-4</v>
          </cell>
        </row>
        <row r="507">
          <cell r="A507" t="str">
            <v>T_C-ICE-DSL-S2</v>
          </cell>
          <cell r="B507" t="str">
            <v>VAR_fin</v>
          </cell>
          <cell r="C507" t="str">
            <v>TDSL</v>
          </cell>
          <cell r="H507">
            <v>2.1842443548218037E-2</v>
          </cell>
          <cell r="I507">
            <v>2.224695988594706E-4</v>
          </cell>
        </row>
        <row r="508">
          <cell r="A508" t="str">
            <v>T_C-ICE-DSL-S2</v>
          </cell>
          <cell r="B508" t="str">
            <v>VAR_ncap</v>
          </cell>
          <cell r="C508" t="str">
            <v>-</v>
          </cell>
        </row>
        <row r="509">
          <cell r="A509" t="str">
            <v>T_C-ICE-DSL-S2</v>
          </cell>
          <cell r="B509" t="str">
            <v>VAR_cap</v>
          </cell>
          <cell r="C509" t="str">
            <v>-</v>
          </cell>
          <cell r="H509">
            <v>1.8254123526678582E-3</v>
          </cell>
          <cell r="I509">
            <v>1.0999614212007331E-5</v>
          </cell>
        </row>
        <row r="510">
          <cell r="A510" t="str">
            <v>TPRLPH2OFCL</v>
          </cell>
          <cell r="B510" t="str">
            <v>VAR_fout</v>
          </cell>
          <cell r="C510" t="str">
            <v>TPRLP</v>
          </cell>
          <cell r="I510">
            <v>2.0941509037230134E-6</v>
          </cell>
          <cell r="J510">
            <v>4.1130761064161244E-6</v>
          </cell>
        </row>
        <row r="511">
          <cell r="A511" t="str">
            <v>TPRLPH2OFCL</v>
          </cell>
          <cell r="B511" t="str">
            <v>VAR_fin</v>
          </cell>
          <cell r="C511" t="str">
            <v>TH2O</v>
          </cell>
          <cell r="I511">
            <v>1.167185634722287E-4</v>
          </cell>
          <cell r="J511">
            <v>2.1289128535321978E-4</v>
          </cell>
        </row>
        <row r="512">
          <cell r="A512" t="str">
            <v>TPRLPH2OFCL</v>
          </cell>
          <cell r="B512" t="str">
            <v>VAR_ncap</v>
          </cell>
          <cell r="C512" t="str">
            <v>-</v>
          </cell>
          <cell r="I512">
            <v>8.8763323470931504E-8</v>
          </cell>
        </row>
        <row r="513">
          <cell r="A513" t="str">
            <v>TPRLPH2OFCL</v>
          </cell>
          <cell r="B513" t="str">
            <v>VAR_cap</v>
          </cell>
          <cell r="C513" t="str">
            <v>-</v>
          </cell>
          <cell r="I513">
            <v>8.8763323470931504E-8</v>
          </cell>
          <cell r="J513">
            <v>8.8763323470931504E-8</v>
          </cell>
        </row>
        <row r="514">
          <cell r="A514" t="str">
            <v>T_C-ICE-GSL-S4</v>
          </cell>
          <cell r="B514" t="str">
            <v>VAR_fout</v>
          </cell>
          <cell r="C514" t="str">
            <v>CO2_T</v>
          </cell>
          <cell r="H514">
            <v>166.31861147439506</v>
          </cell>
          <cell r="I514">
            <v>20.636203172212078</v>
          </cell>
        </row>
        <row r="515">
          <cell r="A515" t="str">
            <v>T_C-ICE-GSL-S4</v>
          </cell>
          <cell r="B515" t="str">
            <v>VAR_fout</v>
          </cell>
          <cell r="C515" t="str">
            <v>TPCAR</v>
          </cell>
          <cell r="H515">
            <v>0.97829031170596958</v>
          </cell>
          <cell r="I515">
            <v>0.1214827003009181</v>
          </cell>
        </row>
        <row r="516">
          <cell r="A516" t="str">
            <v>T_C-ICE-GSL-S4</v>
          </cell>
          <cell r="B516" t="str">
            <v>VAR_fin</v>
          </cell>
          <cell r="C516" t="str">
            <v>TGSL</v>
          </cell>
          <cell r="H516">
            <v>2.2536397218752673</v>
          </cell>
          <cell r="I516">
            <v>0.27962334921696552</v>
          </cell>
        </row>
        <row r="517">
          <cell r="A517" t="str">
            <v>T_C-ICE-GSL-S4</v>
          </cell>
          <cell r="B517" t="str">
            <v>VAR_ncap</v>
          </cell>
          <cell r="C517" t="str">
            <v>-</v>
          </cell>
        </row>
        <row r="518">
          <cell r="A518" t="str">
            <v>T_C-ICE-GSL-S4</v>
          </cell>
          <cell r="B518" t="str">
            <v>VAR_cap</v>
          </cell>
          <cell r="C518" t="str">
            <v>-</v>
          </cell>
          <cell r="H518">
            <v>0.10991801965995308</v>
          </cell>
          <cell r="I518">
            <v>1.3657505949668787E-2</v>
          </cell>
        </row>
        <row r="519">
          <cell r="A519" t="str">
            <v>T_C-ICE-DSL-S3</v>
          </cell>
          <cell r="B519" t="str">
            <v>VAR_fout</v>
          </cell>
          <cell r="C519" t="str">
            <v>CO2_T</v>
          </cell>
          <cell r="H519">
            <v>10.145041229630518</v>
          </cell>
          <cell r="I519">
            <v>1.5133696665664E-2</v>
          </cell>
        </row>
        <row r="520">
          <cell r="A520" t="str">
            <v>T_C-ICE-DSL-S3</v>
          </cell>
          <cell r="B520" t="str">
            <v>VAR_fout</v>
          </cell>
          <cell r="C520" t="str">
            <v>TPCAR</v>
          </cell>
          <cell r="H520">
            <v>8.1805261684773298E-2</v>
          </cell>
          <cell r="I520">
            <v>1.0095610351019846E-4</v>
          </cell>
        </row>
        <row r="521">
          <cell r="A521" t="str">
            <v>T_C-ICE-DSL-S3</v>
          </cell>
          <cell r="B521" t="str">
            <v>VAR_fin</v>
          </cell>
          <cell r="C521" t="str">
            <v>TDSL</v>
          </cell>
          <cell r="H521">
            <v>0.13840438239605035</v>
          </cell>
          <cell r="I521">
            <v>2.0646243745789906E-4</v>
          </cell>
        </row>
        <row r="522">
          <cell r="A522" t="str">
            <v>T_C-ICE-DSL-S3</v>
          </cell>
          <cell r="B522" t="str">
            <v>VAR_ncap</v>
          </cell>
          <cell r="C522" t="str">
            <v>-</v>
          </cell>
        </row>
        <row r="523">
          <cell r="A523" t="str">
            <v>T_C-ICE-DSL-S3</v>
          </cell>
          <cell r="B523" t="str">
            <v>VAR_cap</v>
          </cell>
          <cell r="C523" t="str">
            <v>-</v>
          </cell>
          <cell r="H523">
            <v>5.6552059974688774E-3</v>
          </cell>
          <cell r="I523">
            <v>7.8148589369734302E-6</v>
          </cell>
        </row>
        <row r="524">
          <cell r="A524" t="str">
            <v>T_C-ICE-DSL-S4</v>
          </cell>
          <cell r="B524" t="str">
            <v>VAR_fout</v>
          </cell>
          <cell r="C524" t="str">
            <v>CO2_T</v>
          </cell>
          <cell r="H524">
            <v>5.7417520697866946</v>
          </cell>
          <cell r="I524">
            <v>1.1408739677922511E-2</v>
          </cell>
        </row>
        <row r="525">
          <cell r="A525" t="str">
            <v>T_C-ICE-DSL-S4</v>
          </cell>
          <cell r="B525" t="str">
            <v>VAR_fout</v>
          </cell>
          <cell r="C525" t="str">
            <v>TPCAR</v>
          </cell>
          <cell r="H525">
            <v>3.0605278931329739E-2</v>
          </cell>
          <cell r="I525">
            <v>6.564710787832581E-5</v>
          </cell>
        </row>
        <row r="526">
          <cell r="A526" t="str">
            <v>T_C-ICE-DSL-S4</v>
          </cell>
          <cell r="B526" t="str">
            <v>VAR_fin</v>
          </cell>
          <cell r="C526" t="str">
            <v>TDSL</v>
          </cell>
          <cell r="H526">
            <v>7.8332224690132277E-2</v>
          </cell>
          <cell r="I526">
            <v>1.5564447036729207E-4</v>
          </cell>
        </row>
        <row r="527">
          <cell r="A527" t="str">
            <v>T_C-ICE-DSL-S4</v>
          </cell>
          <cell r="B527" t="str">
            <v>VAR_ncap</v>
          </cell>
          <cell r="C527" t="str">
            <v>-</v>
          </cell>
        </row>
        <row r="528">
          <cell r="A528" t="str">
            <v>T_C-ICE-DSL-S4</v>
          </cell>
          <cell r="B528" t="str">
            <v>VAR_cap</v>
          </cell>
          <cell r="C528" t="str">
            <v>-</v>
          </cell>
          <cell r="H528">
            <v>3.3903530674111496E-3</v>
          </cell>
          <cell r="I528">
            <v>5.8914675050288521E-6</v>
          </cell>
        </row>
        <row r="529">
          <cell r="A529" t="str">
            <v>TFLGV-ICENGAExt</v>
          </cell>
          <cell r="B529" t="str">
            <v>VAR_fout</v>
          </cell>
          <cell r="C529" t="str">
            <v>CO2_T</v>
          </cell>
        </row>
        <row r="530">
          <cell r="A530" t="str">
            <v>TFLGV-ICENGAExt</v>
          </cell>
          <cell r="B530" t="str">
            <v>VAR_fout</v>
          </cell>
          <cell r="C530" t="str">
            <v>TFLGV</v>
          </cell>
        </row>
        <row r="531">
          <cell r="A531" t="str">
            <v>TFLGV-ICENGAExt</v>
          </cell>
          <cell r="B531" t="str">
            <v>VAR_fin</v>
          </cell>
          <cell r="C531" t="str">
            <v>TNGA</v>
          </cell>
        </row>
        <row r="532">
          <cell r="A532" t="str">
            <v>TFLGV-ICENGAExt</v>
          </cell>
          <cell r="B532" t="str">
            <v>VAR_cap</v>
          </cell>
          <cell r="C532" t="str">
            <v>-</v>
          </cell>
        </row>
        <row r="533">
          <cell r="A533" t="str">
            <v>D-TGSL</v>
          </cell>
          <cell r="B533" t="str">
            <v>VAR_fout</v>
          </cell>
          <cell r="C533" t="str">
            <v>CO2</v>
          </cell>
          <cell r="H533">
            <v>1246.62124283803</v>
          </cell>
          <cell r="I533">
            <v>252.974818582729</v>
          </cell>
          <cell r="J533">
            <v>54.787334374624699</v>
          </cell>
        </row>
        <row r="534">
          <cell r="A534" t="str">
            <v>D-TGSL</v>
          </cell>
          <cell r="B534" t="str">
            <v>VAR_fout</v>
          </cell>
          <cell r="C534" t="str">
            <v>TGSL</v>
          </cell>
          <cell r="H534">
            <v>18.202613454764705</v>
          </cell>
          <cell r="I534">
            <v>6.1995855632601868</v>
          </cell>
          <cell r="J534">
            <v>0.80215578980043944</v>
          </cell>
        </row>
        <row r="535">
          <cell r="A535" t="str">
            <v>D-TGSL</v>
          </cell>
          <cell r="B535" t="str">
            <v>VAR_fin</v>
          </cell>
          <cell r="C535" t="str">
            <v>GSL</v>
          </cell>
          <cell r="H535">
            <v>16.891886759322894</v>
          </cell>
          <cell r="I535">
            <v>3.427843070226686</v>
          </cell>
          <cell r="J535">
            <v>0.74237580453420926</v>
          </cell>
        </row>
        <row r="536">
          <cell r="A536" t="str">
            <v>D-TGSL</v>
          </cell>
          <cell r="B536" t="str">
            <v>VAR_fin</v>
          </cell>
          <cell r="C536" t="str">
            <v>ETH</v>
          </cell>
          <cell r="H536">
            <v>1.582224164366421</v>
          </cell>
          <cell r="I536">
            <v>2.8642165537943169</v>
          </cell>
          <cell r="J536">
            <v>7.1747595064254016E-2</v>
          </cell>
        </row>
        <row r="537">
          <cell r="A537" t="str">
            <v>T_TW-BEVELC-S1</v>
          </cell>
          <cell r="B537" t="str">
            <v>VAR_fout</v>
          </cell>
          <cell r="C537" t="str">
            <v>TPTWL</v>
          </cell>
          <cell r="H537">
            <v>1.2155419054368892</v>
          </cell>
          <cell r="I537">
            <v>1.9514655186089223</v>
          </cell>
          <cell r="J537">
            <v>2.097503836595493</v>
          </cell>
        </row>
        <row r="538">
          <cell r="A538" t="str">
            <v>T_TW-BEVELC-S1</v>
          </cell>
          <cell r="B538" t="str">
            <v>VAR_fin</v>
          </cell>
          <cell r="C538" t="str">
            <v>T-ELC-TWSTGout_S1</v>
          </cell>
          <cell r="H538">
            <v>0.10555918073122797</v>
          </cell>
          <cell r="I538">
            <v>0.16848413519073016</v>
          </cell>
          <cell r="J538">
            <v>0.17732155112874151</v>
          </cell>
        </row>
        <row r="539">
          <cell r="A539" t="str">
            <v>T_TW-BEVELC-S1</v>
          </cell>
          <cell r="B539" t="str">
            <v>VAR_ncap</v>
          </cell>
          <cell r="C539" t="str">
            <v>-</v>
          </cell>
          <cell r="H539">
            <v>0.41668859687809401</v>
          </cell>
          <cell r="I539">
            <v>0.362506759463182</v>
          </cell>
          <cell r="J539">
            <v>0.62230650713117897</v>
          </cell>
        </row>
        <row r="540">
          <cell r="A540" t="str">
            <v>T_TW-BEVELC-S1</v>
          </cell>
          <cell r="B540" t="str">
            <v>VAR_cap</v>
          </cell>
          <cell r="C540" t="str">
            <v>-</v>
          </cell>
          <cell r="H540">
            <v>0.41847576495921346</v>
          </cell>
          <cell r="I540">
            <v>0.77944414714524879</v>
          </cell>
          <cell r="J540">
            <v>0.87722944076608922</v>
          </cell>
        </row>
        <row r="541">
          <cell r="A541" t="str">
            <v>T_TW-BEVELC-S2</v>
          </cell>
          <cell r="B541" t="str">
            <v>VAR_fout</v>
          </cell>
          <cell r="C541" t="str">
            <v>TPTWL</v>
          </cell>
          <cell r="H541">
            <v>3.4767049428078805E-3</v>
          </cell>
          <cell r="I541">
            <v>3.0202804581134545E-3</v>
          </cell>
          <cell r="J541">
            <v>1.9863529925406359E-3</v>
          </cell>
        </row>
        <row r="542">
          <cell r="A542" t="str">
            <v>T_TW-BEVELC-S2</v>
          </cell>
          <cell r="B542" t="str">
            <v>VAR_fin</v>
          </cell>
          <cell r="C542" t="str">
            <v>T-ELC-TWSTGout_S2</v>
          </cell>
          <cell r="H542">
            <v>5.3794784086142909E-4</v>
          </cell>
          <cell r="I542">
            <v>4.6204961064366846E-4</v>
          </cell>
          <cell r="J542">
            <v>2.9947110342966007E-4</v>
          </cell>
        </row>
        <row r="543">
          <cell r="A543" t="str">
            <v>T_TW-BEVELC-S2</v>
          </cell>
          <cell r="B543" t="str">
            <v>VAR_ncap</v>
          </cell>
          <cell r="C543" t="str">
            <v>-</v>
          </cell>
          <cell r="H543">
            <v>6.7181701885121595E-4</v>
          </cell>
          <cell r="I543">
            <v>3.73955801445498E-4</v>
          </cell>
          <cell r="J543">
            <v>3.0674687911957298E-4</v>
          </cell>
        </row>
        <row r="544">
          <cell r="A544" t="str">
            <v>T_TW-BEVELC-S2</v>
          </cell>
          <cell r="B544" t="str">
            <v>VAR_cap</v>
          </cell>
          <cell r="C544" t="str">
            <v>-</v>
          </cell>
          <cell r="H544">
            <v>1.3003358150271724E-3</v>
          </cell>
          <cell r="I544">
            <v>1.197783472787316E-3</v>
          </cell>
          <cell r="J544">
            <v>7.8082902228731081E-4</v>
          </cell>
        </row>
        <row r="545">
          <cell r="A545" t="str">
            <v>TFRLFH2OFCL</v>
          </cell>
          <cell r="B545" t="str">
            <v>VAR_fout</v>
          </cell>
          <cell r="C545" t="str">
            <v>TFRLF</v>
          </cell>
          <cell r="I545">
            <v>4.9388315245626618E-7</v>
          </cell>
          <cell r="J545">
            <v>6.4503712801181386E-7</v>
          </cell>
        </row>
        <row r="546">
          <cell r="A546" t="str">
            <v>TFRLFH2OFCL</v>
          </cell>
          <cell r="B546" t="str">
            <v>VAR_fin</v>
          </cell>
          <cell r="C546" t="str">
            <v>TH2O</v>
          </cell>
          <cell r="I546">
            <v>6.7684219368715194E-5</v>
          </cell>
          <cell r="J546">
            <v>1.0870008037533302E-4</v>
          </cell>
        </row>
        <row r="547">
          <cell r="A547" t="str">
            <v>TFRLFH2OFCL</v>
          </cell>
          <cell r="B547" t="str">
            <v>VAR_ncap</v>
          </cell>
          <cell r="C547" t="str">
            <v>-</v>
          </cell>
          <cell r="I547">
            <v>1.6012281486838299E-7</v>
          </cell>
        </row>
        <row r="548">
          <cell r="A548" t="str">
            <v>TFRLFH2OFCL</v>
          </cell>
          <cell r="B548" t="str">
            <v>VAR_cap</v>
          </cell>
          <cell r="C548" t="str">
            <v>-</v>
          </cell>
          <cell r="I548">
            <v>1.6012281486838299E-7</v>
          </cell>
          <cell r="J548">
            <v>1.6012281486838299E-7</v>
          </cell>
        </row>
        <row r="549">
          <cell r="A549" t="str">
            <v>T_TW-BEVELC-S3</v>
          </cell>
          <cell r="B549" t="str">
            <v>VAR_fout</v>
          </cell>
          <cell r="C549" t="str">
            <v>TPTWL</v>
          </cell>
          <cell r="H549">
            <v>2.1577383125915839E-3</v>
          </cell>
          <cell r="I549">
            <v>1.8239002390224759E-3</v>
          </cell>
          <cell r="J549">
            <v>1.0259905005738585E-3</v>
          </cell>
        </row>
        <row r="550">
          <cell r="A550" t="str">
            <v>T_TW-BEVELC-S3</v>
          </cell>
          <cell r="B550" t="str">
            <v>VAR_fin</v>
          </cell>
          <cell r="C550" t="str">
            <v>T-ELC-TWSTGout_S3</v>
          </cell>
          <cell r="H550">
            <v>5.1874568257989412E-4</v>
          </cell>
          <cell r="I550">
            <v>4.3329817396622617E-4</v>
          </cell>
          <cell r="J550">
            <v>2.3692543754934983E-4</v>
          </cell>
        </row>
        <row r="551">
          <cell r="A551" t="str">
            <v>T_TW-BEVELC-S3</v>
          </cell>
          <cell r="B551" t="str">
            <v>VAR_ncap</v>
          </cell>
          <cell r="C551" t="str">
            <v>-</v>
          </cell>
          <cell r="H551">
            <v>1.60009461115885E-4</v>
          </cell>
          <cell r="I551">
            <v>1.25414385401505E-4</v>
          </cell>
          <cell r="J551">
            <v>1.11961180646498E-4</v>
          </cell>
        </row>
        <row r="552">
          <cell r="A552" t="str">
            <v>T_TW-BEVELC-S3</v>
          </cell>
          <cell r="B552" t="str">
            <v>VAR_cap</v>
          </cell>
          <cell r="C552" t="str">
            <v>-</v>
          </cell>
          <cell r="H552">
            <v>8.1354837706869244E-4</v>
          </cell>
          <cell r="I552">
            <v>7.0828694922239234E-4</v>
          </cell>
          <cell r="J552">
            <v>3.9928882546240863E-4</v>
          </cell>
        </row>
        <row r="553">
          <cell r="A553" t="str">
            <v>T_TW-BEVELC-S4</v>
          </cell>
          <cell r="B553" t="str">
            <v>VAR_fout</v>
          </cell>
          <cell r="C553" t="str">
            <v>TPTWL</v>
          </cell>
          <cell r="H553">
            <v>2.1594246342793804E-3</v>
          </cell>
          <cell r="I553">
            <v>2.4305099135491638E-3</v>
          </cell>
          <cell r="J553">
            <v>1.5158901551483343E-3</v>
          </cell>
        </row>
        <row r="554">
          <cell r="A554" t="str">
            <v>T_TW-BEVELC-S4</v>
          </cell>
          <cell r="B554" t="str">
            <v>VAR_fin</v>
          </cell>
          <cell r="C554" t="str">
            <v>T-ELC-TWSTGout_S4</v>
          </cell>
          <cell r="H554">
            <v>5.629775409978845E-4</v>
          </cell>
          <cell r="I554">
            <v>6.2975010780583381E-4</v>
          </cell>
          <cell r="J554">
            <v>3.8300523911476007E-4</v>
          </cell>
        </row>
        <row r="555">
          <cell r="A555" t="str">
            <v>T_TW-BEVELC-S4</v>
          </cell>
          <cell r="B555" t="str">
            <v>VAR_ncap</v>
          </cell>
          <cell r="C555" t="str">
            <v>-</v>
          </cell>
          <cell r="H555">
            <v>1.6237281437574399E-4</v>
          </cell>
          <cell r="I555">
            <v>1.3410048664293001E-4</v>
          </cell>
          <cell r="J555">
            <v>1.06403939942259E-4</v>
          </cell>
        </row>
        <row r="556">
          <cell r="A556" t="str">
            <v>T_TW-BEVELC-S4</v>
          </cell>
          <cell r="B556" t="str">
            <v>VAR_cap</v>
          </cell>
          <cell r="C556" t="str">
            <v>-</v>
          </cell>
          <cell r="H556">
            <v>8.1331212572349049E-4</v>
          </cell>
          <cell r="I556">
            <v>9.4652416946685474E-4</v>
          </cell>
          <cell r="J556">
            <v>5.9169032115239165E-4</v>
          </cell>
        </row>
        <row r="557">
          <cell r="A557" t="str">
            <v>T_B_u-BeVELCEXT</v>
          </cell>
          <cell r="B557" t="str">
            <v>VAR_fout</v>
          </cell>
          <cell r="C557" t="str">
            <v>TPBSu</v>
          </cell>
        </row>
        <row r="558">
          <cell r="A558" t="str">
            <v>T_B_u-BeVELCEXT</v>
          </cell>
          <cell r="B558" t="str">
            <v>VAR_fin</v>
          </cell>
          <cell r="C558" t="str">
            <v>TELC</v>
          </cell>
        </row>
        <row r="559">
          <cell r="A559" t="str">
            <v>T_B_u-BeVELCEXT</v>
          </cell>
          <cell r="B559" t="str">
            <v>VAR_cap</v>
          </cell>
          <cell r="C559" t="str">
            <v>-</v>
          </cell>
        </row>
        <row r="560">
          <cell r="A560" t="str">
            <v>T_B_u-HYBDSL-S1</v>
          </cell>
          <cell r="B560" t="str">
            <v>VAR_fout</v>
          </cell>
          <cell r="C560" t="str">
            <v>CO2_T</v>
          </cell>
          <cell r="H560">
            <v>2.394239760985671E-3</v>
          </cell>
          <cell r="I560">
            <v>2.5079251918227502E-3</v>
          </cell>
          <cell r="J560">
            <v>1.5081609581807701E-3</v>
          </cell>
        </row>
        <row r="561">
          <cell r="A561" t="str">
            <v>T_B_u-HYBDSL-S1</v>
          </cell>
          <cell r="B561" t="str">
            <v>VAR_fout</v>
          </cell>
          <cell r="C561" t="str">
            <v>TPBSu</v>
          </cell>
          <cell r="H561">
            <v>6.2868234080782683E-6</v>
          </cell>
          <cell r="I561">
            <v>7.0019498150964404E-6</v>
          </cell>
          <cell r="J561">
            <v>4.1847794830290697E-6</v>
          </cell>
        </row>
        <row r="562">
          <cell r="A562" t="str">
            <v>T_B_u-HYBDSL-S1</v>
          </cell>
          <cell r="B562" t="str">
            <v>VAR_fin</v>
          </cell>
          <cell r="C562" t="str">
            <v>TDSL</v>
          </cell>
          <cell r="H562">
            <v>3.2663571091209725E-5</v>
          </cell>
          <cell r="I562">
            <v>3.4214531948468586E-5</v>
          </cell>
          <cell r="J562">
            <v>2.0575183604103196E-5</v>
          </cell>
        </row>
        <row r="563">
          <cell r="A563" t="str">
            <v>T_B_u-HYBDSL-S1</v>
          </cell>
          <cell r="B563" t="str">
            <v>VAR_ncap</v>
          </cell>
          <cell r="C563" t="str">
            <v>-</v>
          </cell>
          <cell r="H563">
            <v>1.2140640732299599E-7</v>
          </cell>
          <cell r="I563">
            <v>1.43152831955103E-7</v>
          </cell>
        </row>
        <row r="564">
          <cell r="A564" t="str">
            <v>T_B_u-HYBDSL-S1</v>
          </cell>
          <cell r="B564" t="str">
            <v>VAR_cap</v>
          </cell>
          <cell r="C564" t="str">
            <v>-</v>
          </cell>
          <cell r="H564">
            <v>1.612054089003998E-7</v>
          </cell>
          <cell r="I564">
            <v>1.5900243623748697E-7</v>
          </cell>
          <cell r="J564">
            <v>9.3097347362657704E-8</v>
          </cell>
        </row>
        <row r="565">
          <cell r="A565" t="str">
            <v>T_B_u-HYBDSL-S2</v>
          </cell>
          <cell r="B565" t="str">
            <v>VAR_fout</v>
          </cell>
          <cell r="C565" t="str">
            <v>CO2_T</v>
          </cell>
          <cell r="H565">
            <v>2.1756863092560101E-3</v>
          </cell>
          <cell r="I565">
            <v>2.3682111400201598E-3</v>
          </cell>
          <cell r="J565">
            <v>1.5404812057795152E-3</v>
          </cell>
        </row>
        <row r="566">
          <cell r="A566" t="str">
            <v>T_B_u-HYBDSL-S2</v>
          </cell>
          <cell r="B566" t="str">
            <v>VAR_fout</v>
          </cell>
          <cell r="C566" t="str">
            <v>TPBSu</v>
          </cell>
          <cell r="H566">
            <v>4.1376255573927796E-6</v>
          </cell>
          <cell r="I566">
            <v>4.7387527078376681E-6</v>
          </cell>
          <cell r="J566">
            <v>3.0756412005881917E-6</v>
          </cell>
        </row>
        <row r="567">
          <cell r="A567" t="str">
            <v>T_B_u-HYBDSL-S2</v>
          </cell>
          <cell r="B567" t="str">
            <v>VAR_fin</v>
          </cell>
          <cell r="C567" t="str">
            <v>TDSL</v>
          </cell>
          <cell r="H567">
            <v>2.9681941463247055E-5</v>
          </cell>
          <cell r="I567">
            <v>3.2308473942976271E-5</v>
          </cell>
          <cell r="J567">
            <v>2.1016114676391694E-5</v>
          </cell>
        </row>
        <row r="568">
          <cell r="A568" t="str">
            <v>T_B_u-HYBDSL-S2</v>
          </cell>
          <cell r="B568" t="str">
            <v>VAR_ncap</v>
          </cell>
          <cell r="C568" t="str">
            <v>-</v>
          </cell>
          <cell r="H568">
            <v>4.2357858800957097E-8</v>
          </cell>
          <cell r="I568">
            <v>7.4812760545188203E-8</v>
          </cell>
        </row>
        <row r="569">
          <cell r="A569" t="str">
            <v>T_B_u-HYBDSL-S2</v>
          </cell>
          <cell r="B569" t="str">
            <v>VAR_cap</v>
          </cell>
          <cell r="C569" t="str">
            <v>-</v>
          </cell>
          <cell r="H569">
            <v>1.1286928327424997E-8</v>
          </cell>
          <cell r="I569">
            <v>5.1335671038132194E-8</v>
          </cell>
          <cell r="J569">
            <v>4.4952318049726002E-8</v>
          </cell>
        </row>
        <row r="570">
          <cell r="A570" t="str">
            <v>T_B_u-HYBDSL-S3</v>
          </cell>
          <cell r="B570" t="str">
            <v>VAR_fout</v>
          </cell>
          <cell r="C570" t="str">
            <v>CO2_T</v>
          </cell>
          <cell r="H570">
            <v>3.5434465051534594E-3</v>
          </cell>
          <cell r="I570">
            <v>1.14327234080696E-3</v>
          </cell>
          <cell r="J570">
            <v>3.0314447846685601E-3</v>
          </cell>
        </row>
        <row r="571">
          <cell r="A571" t="str">
            <v>T_B_u-HYBDSL-S3</v>
          </cell>
          <cell r="B571" t="str">
            <v>VAR_fout</v>
          </cell>
          <cell r="C571" t="str">
            <v>TPBSu</v>
          </cell>
          <cell r="H571">
            <v>4.4938710550452604E-6</v>
          </cell>
          <cell r="I571">
            <v>1.5399393757197775E-6</v>
          </cell>
          <cell r="J571">
            <v>4.0832276113113029E-6</v>
          </cell>
        </row>
        <row r="572">
          <cell r="A572" t="str">
            <v>T_B_u-HYBDSL-S3</v>
          </cell>
          <cell r="B572" t="str">
            <v>VAR_fin</v>
          </cell>
          <cell r="C572" t="str">
            <v>TDSL</v>
          </cell>
          <cell r="H572">
            <v>4.8341698569624229E-5</v>
          </cell>
          <cell r="I572">
            <v>1.5597166996002137E-5</v>
          </cell>
          <cell r="J572">
            <v>4.1356681919079894E-5</v>
          </cell>
        </row>
        <row r="573">
          <cell r="A573" t="str">
            <v>T_B_u-HYBDSL-S3</v>
          </cell>
          <cell r="B573" t="str">
            <v>VAR_ncap</v>
          </cell>
          <cell r="C573" t="str">
            <v>-</v>
          </cell>
          <cell r="I573">
            <v>1.03446774778719E-8</v>
          </cell>
        </row>
        <row r="574">
          <cell r="A574" t="str">
            <v>T_B_u-HYBDSL-S3</v>
          </cell>
          <cell r="B574" t="str">
            <v>VAR_cap</v>
          </cell>
          <cell r="C574" t="str">
            <v>-</v>
          </cell>
          <cell r="H574">
            <v>-2.4379629249801499E-8</v>
          </cell>
          <cell r="I574">
            <v>-2.78193569378115E-8</v>
          </cell>
          <cell r="J574">
            <v>3.5432718268888199E-9</v>
          </cell>
        </row>
        <row r="575">
          <cell r="A575" t="str">
            <v>T_C-HY-GSL-S1</v>
          </cell>
          <cell r="B575" t="str">
            <v>VAR_fout</v>
          </cell>
          <cell r="C575" t="str">
            <v>CO2_T</v>
          </cell>
          <cell r="H575">
            <v>0.21686155582510891</v>
          </cell>
          <cell r="I575">
            <v>2.4694563817188257E-2</v>
          </cell>
        </row>
        <row r="576">
          <cell r="A576" t="str">
            <v>T_C-HY-GSL-S1</v>
          </cell>
          <cell r="B576" t="str">
            <v>VAR_fout</v>
          </cell>
          <cell r="C576" t="str">
            <v>TPCAR</v>
          </cell>
          <cell r="H576">
            <v>3.6989099415248431E-3</v>
          </cell>
          <cell r="I576">
            <v>3.1100691791687446E-4</v>
          </cell>
        </row>
        <row r="577">
          <cell r="A577" t="str">
            <v>T_C-HY-GSL-S1</v>
          </cell>
          <cell r="B577" t="str">
            <v>VAR_fin</v>
          </cell>
          <cell r="C577" t="str">
            <v>TGSL</v>
          </cell>
          <cell r="H577">
            <v>2.9385034664648844E-3</v>
          </cell>
          <cell r="I577">
            <v>3.3461468586975948E-4</v>
          </cell>
        </row>
        <row r="578">
          <cell r="A578" t="str">
            <v>T_C-HY-GSL-S1</v>
          </cell>
          <cell r="B578" t="str">
            <v>VAR_ncap</v>
          </cell>
          <cell r="C578" t="str">
            <v>-</v>
          </cell>
        </row>
        <row r="579">
          <cell r="A579" t="str">
            <v>T_C-HY-GSL-S1</v>
          </cell>
          <cell r="B579" t="str">
            <v>VAR_cap</v>
          </cell>
          <cell r="C579" t="str">
            <v>-</v>
          </cell>
          <cell r="H579">
            <v>5.4488738936670845E-4</v>
          </cell>
          <cell r="I579">
            <v>4.4107214223853903E-5</v>
          </cell>
        </row>
        <row r="580">
          <cell r="A580" t="str">
            <v>T_B_u-HYBDSL-S4</v>
          </cell>
          <cell r="B580" t="str">
            <v>VAR_fout</v>
          </cell>
          <cell r="C580" t="str">
            <v>CO2_T</v>
          </cell>
          <cell r="H580">
            <v>4.8255135696269102E-4</v>
          </cell>
          <cell r="J580">
            <v>2.3091691556597401E-3</v>
          </cell>
        </row>
        <row r="581">
          <cell r="A581" t="str">
            <v>T_B_u-HYBDSL-S4</v>
          </cell>
          <cell r="B581" t="str">
            <v>VAR_fout</v>
          </cell>
          <cell r="C581" t="str">
            <v>TPBSu</v>
          </cell>
          <cell r="H581">
            <v>4.1670216559369792E-7</v>
          </cell>
          <cell r="J581">
            <v>2.1005174619803913E-6</v>
          </cell>
        </row>
        <row r="582">
          <cell r="A582" t="str">
            <v>T_B_u-HYBDSL-S4</v>
          </cell>
          <cell r="B582" t="str">
            <v>VAR_fin</v>
          </cell>
          <cell r="C582" t="str">
            <v>TDSL</v>
          </cell>
          <cell r="H582">
            <v>6.5832381577447666E-6</v>
          </cell>
          <cell r="J582">
            <v>3.1502989845289811E-5</v>
          </cell>
        </row>
        <row r="583">
          <cell r="A583" t="str">
            <v>T_B_u-HYBDSL-S4</v>
          </cell>
          <cell r="B583" t="str">
            <v>VAR_ncap</v>
          </cell>
          <cell r="C583" t="str">
            <v>-</v>
          </cell>
        </row>
        <row r="584">
          <cell r="A584" t="str">
            <v>T_B_u-HYBDSL-S4</v>
          </cell>
          <cell r="B584" t="str">
            <v>VAR_cap</v>
          </cell>
          <cell r="C584" t="str">
            <v>-</v>
          </cell>
          <cell r="H584">
            <v>-1.08298628628795E-8</v>
          </cell>
          <cell r="I584">
            <v>-2.8128574564804299E-8</v>
          </cell>
        </row>
        <row r="585">
          <cell r="A585" t="str">
            <v>TFRLFDSLEXT</v>
          </cell>
          <cell r="B585" t="str">
            <v>VAR_fout</v>
          </cell>
          <cell r="C585" t="str">
            <v>CO2_T</v>
          </cell>
          <cell r="H585">
            <v>2.5076051024831E-2</v>
          </cell>
          <cell r="I585">
            <v>6.5174160409639604E-3</v>
          </cell>
        </row>
        <row r="586">
          <cell r="A586" t="str">
            <v>TFRLFDSLEXT</v>
          </cell>
          <cell r="B586" t="str">
            <v>VAR_fout</v>
          </cell>
          <cell r="C586" t="str">
            <v>TFRLF</v>
          </cell>
          <cell r="H586">
            <v>1.3865632686554355E-6</v>
          </cell>
          <cell r="I586">
            <v>3.6037610866231943E-7</v>
          </cell>
        </row>
        <row r="587">
          <cell r="A587" t="str">
            <v>TFRLFDSLEXT</v>
          </cell>
          <cell r="B587" t="str">
            <v>VAR_fin</v>
          </cell>
          <cell r="C587" t="str">
            <v>TDSL</v>
          </cell>
          <cell r="H587">
            <v>3.4210165108909912E-4</v>
          </cell>
          <cell r="I587">
            <v>8.8914270681636579E-5</v>
          </cell>
        </row>
        <row r="588">
          <cell r="A588" t="str">
            <v>TFRLFDSLEXT</v>
          </cell>
          <cell r="B588" t="str">
            <v>VAR_ncap</v>
          </cell>
          <cell r="C588" t="str">
            <v>-</v>
          </cell>
        </row>
        <row r="589">
          <cell r="A589" t="str">
            <v>TFRLFDSLEXT</v>
          </cell>
          <cell r="B589" t="str">
            <v>VAR_cap</v>
          </cell>
          <cell r="C589" t="str">
            <v>-</v>
          </cell>
          <cell r="H589">
            <v>2.3030460522598735E-7</v>
          </cell>
          <cell r="I589">
            <v>1.644786764979961E-7</v>
          </cell>
          <cell r="J589">
            <v>8.3455347590097404E-8</v>
          </cell>
        </row>
        <row r="590">
          <cell r="A590" t="str">
            <v>T_C-HY-GSL-S2</v>
          </cell>
          <cell r="B590" t="str">
            <v>VAR_fout</v>
          </cell>
          <cell r="C590" t="str">
            <v>CO2_T</v>
          </cell>
          <cell r="H590">
            <v>38.018337123390062</v>
          </cell>
          <cell r="I590">
            <v>3.5652779172794058</v>
          </cell>
        </row>
        <row r="591">
          <cell r="A591" t="str">
            <v>T_C-HY-GSL-S2</v>
          </cell>
          <cell r="B591" t="str">
            <v>VAR_fout</v>
          </cell>
          <cell r="C591" t="str">
            <v>TPCAR</v>
          </cell>
          <cell r="H591">
            <v>0.97214009631952647</v>
          </cell>
          <cell r="I591">
            <v>8.9571750431850228E-2</v>
          </cell>
        </row>
        <row r="592">
          <cell r="A592" t="str">
            <v>T_C-HY-GSL-S2</v>
          </cell>
          <cell r="B592" t="str">
            <v>VAR_fin</v>
          </cell>
          <cell r="C592" t="str">
            <v>TGSL</v>
          </cell>
          <cell r="H592">
            <v>0.51515361955813133</v>
          </cell>
          <cell r="I592">
            <v>4.8309998879124759E-2</v>
          </cell>
        </row>
        <row r="593">
          <cell r="A593" t="str">
            <v>T_C-HY-GSL-S2</v>
          </cell>
          <cell r="B593" t="str">
            <v>VAR_ncap</v>
          </cell>
          <cell r="C593" t="str">
            <v>-</v>
          </cell>
        </row>
        <row r="594">
          <cell r="A594" t="str">
            <v>T_C-HY-GSL-S2</v>
          </cell>
          <cell r="B594" t="str">
            <v>VAR_cap</v>
          </cell>
          <cell r="C594" t="str">
            <v>-</v>
          </cell>
          <cell r="H594">
            <v>7.3819453154451611E-2</v>
          </cell>
          <cell r="I594">
            <v>9.4161482193704897E-3</v>
          </cell>
        </row>
        <row r="595">
          <cell r="A595" t="str">
            <v>TPSHPNGAEXT</v>
          </cell>
          <cell r="B595" t="str">
            <v>VAR_ncap</v>
          </cell>
          <cell r="C595" t="str">
            <v>-</v>
          </cell>
          <cell r="H595">
            <v>2.54851586100252E-5</v>
          </cell>
          <cell r="I595">
            <v>1.5417068683019201E-3</v>
          </cell>
          <cell r="J595">
            <v>4.4131896210890103E-6</v>
          </cell>
        </row>
        <row r="596">
          <cell r="A596" t="str">
            <v>TPSHPNGAEXT</v>
          </cell>
          <cell r="B596" t="str">
            <v>VAR_cap</v>
          </cell>
          <cell r="C596" t="str">
            <v>-</v>
          </cell>
          <cell r="H596">
            <v>2.72308146955947E-5</v>
          </cell>
          <cell r="I596">
            <v>1.5641456623459507E-3</v>
          </cell>
          <cell r="J596">
            <v>1.125881915737799E-4</v>
          </cell>
        </row>
        <row r="597">
          <cell r="A597" t="str">
            <v>T_C-HY-DSL-S1</v>
          </cell>
          <cell r="B597" t="str">
            <v>VAR_fout</v>
          </cell>
          <cell r="C597" t="str">
            <v>CO2_T</v>
          </cell>
          <cell r="H597">
            <v>2.2458898828983056</v>
          </cell>
          <cell r="I597">
            <v>1.6550258452076673E-2</v>
          </cell>
        </row>
        <row r="598">
          <cell r="A598" t="str">
            <v>T_C-HY-DSL-S1</v>
          </cell>
          <cell r="B598" t="str">
            <v>VAR_fout</v>
          </cell>
          <cell r="C598" t="str">
            <v>TPCAR</v>
          </cell>
          <cell r="H598">
            <v>5.1623851561064429E-2</v>
          </cell>
          <cell r="I598">
            <v>2.2648427760562238E-4</v>
          </cell>
        </row>
        <row r="599">
          <cell r="A599" t="str">
            <v>T_C-HY-DSL-S1</v>
          </cell>
          <cell r="B599" t="str">
            <v>VAR_fin</v>
          </cell>
          <cell r="C599" t="str">
            <v>TDSL</v>
          </cell>
          <cell r="H599">
            <v>3.0639698266006935E-2</v>
          </cell>
          <cell r="I599">
            <v>2.2578797342533022E-4</v>
          </cell>
        </row>
        <row r="600">
          <cell r="A600" t="str">
            <v>T_C-HY-DSL-S1</v>
          </cell>
          <cell r="B600" t="str">
            <v>VAR_ncap</v>
          </cell>
          <cell r="C600" t="str">
            <v>-</v>
          </cell>
        </row>
        <row r="601">
          <cell r="A601" t="str">
            <v>T_C-HY-DSL-S1</v>
          </cell>
          <cell r="B601" t="str">
            <v>VAR_cap</v>
          </cell>
          <cell r="C601" t="str">
            <v>-</v>
          </cell>
          <cell r="H601">
            <v>7.8333031166920794E-3</v>
          </cell>
          <cell r="I601">
            <v>3.1479535296475726E-5</v>
          </cell>
        </row>
        <row r="602">
          <cell r="A602" t="str">
            <v>T_C-HY-GSL-S3</v>
          </cell>
          <cell r="B602" t="str">
            <v>VAR_fout</v>
          </cell>
          <cell r="C602" t="str">
            <v>CO2_T</v>
          </cell>
          <cell r="H602">
            <v>19.514285343205191</v>
          </cell>
          <cell r="I602">
            <v>1.371108941842534E-2</v>
          </cell>
        </row>
        <row r="603">
          <cell r="A603" t="str">
            <v>T_C-HY-GSL-S3</v>
          </cell>
          <cell r="B603" t="str">
            <v>VAR_fout</v>
          </cell>
          <cell r="C603" t="str">
            <v>TPCAR</v>
          </cell>
          <cell r="H603">
            <v>0.67350018290523128</v>
          </cell>
          <cell r="I603">
            <v>1.9506381989353456E-4</v>
          </cell>
        </row>
        <row r="604">
          <cell r="A604" t="str">
            <v>T_C-HY-GSL-S3</v>
          </cell>
          <cell r="B604" t="str">
            <v>VAR_fin</v>
          </cell>
          <cell r="C604" t="str">
            <v>TGSL</v>
          </cell>
          <cell r="H604">
            <v>0.26442121061253676</v>
          </cell>
          <cell r="I604">
            <v>1.857871194908584E-4</v>
          </cell>
        </row>
        <row r="605">
          <cell r="A605" t="str">
            <v>T_C-HY-GSL-S3</v>
          </cell>
          <cell r="B605" t="str">
            <v>VAR_ncap</v>
          </cell>
          <cell r="C605" t="str">
            <v>-</v>
          </cell>
        </row>
        <row r="606">
          <cell r="A606" t="str">
            <v>T_C-HY-GSL-S3</v>
          </cell>
          <cell r="B606" t="str">
            <v>VAR_cap</v>
          </cell>
          <cell r="C606" t="str">
            <v>-</v>
          </cell>
          <cell r="H606">
            <v>4.6332522906184621E-2</v>
          </cell>
          <cell r="I606">
            <v>1.4986325868795378E-5</v>
          </cell>
        </row>
        <row r="607">
          <cell r="A607" t="str">
            <v>T_C-HY-DSL-S2</v>
          </cell>
          <cell r="B607" t="str">
            <v>VAR_fout</v>
          </cell>
          <cell r="C607" t="str">
            <v>CO2_T</v>
          </cell>
          <cell r="H607">
            <v>44.115440095383534</v>
          </cell>
          <cell r="I607">
            <v>3.2019336114510741</v>
          </cell>
        </row>
        <row r="608">
          <cell r="A608" t="str">
            <v>T_C-HY-DSL-S2</v>
          </cell>
          <cell r="B608" t="str">
            <v>VAR_fout</v>
          </cell>
          <cell r="C608" t="str">
            <v>TPCAR</v>
          </cell>
          <cell r="H608">
            <v>1.2885676699225419</v>
          </cell>
          <cell r="I608">
            <v>8.5139105593511524E-2</v>
          </cell>
        </row>
        <row r="609">
          <cell r="A609" t="str">
            <v>T_C-HY-DSL-S2</v>
          </cell>
          <cell r="B609" t="str">
            <v>VAR_fin</v>
          </cell>
          <cell r="C609" t="str">
            <v>TDSL</v>
          </cell>
          <cell r="H609">
            <v>0.60184775027808413</v>
          </cell>
          <cell r="I609">
            <v>4.3682586786508548E-2</v>
          </cell>
        </row>
        <row r="610">
          <cell r="A610" t="str">
            <v>T_C-HY-DSL-S2</v>
          </cell>
          <cell r="B610" t="str">
            <v>VAR_ncap</v>
          </cell>
          <cell r="C610" t="str">
            <v>-</v>
          </cell>
        </row>
        <row r="611">
          <cell r="A611" t="str">
            <v>T_C-HY-DSL-S2</v>
          </cell>
          <cell r="B611" t="str">
            <v>VAR_cap</v>
          </cell>
          <cell r="C611" t="str">
            <v>-</v>
          </cell>
          <cell r="H611">
            <v>9.7798331112262299E-2</v>
          </cell>
          <cell r="I611">
            <v>8.9484523152013034E-3</v>
          </cell>
        </row>
        <row r="612">
          <cell r="A612" t="str">
            <v>D-T-ELC-Bus_c_S1</v>
          </cell>
          <cell r="B612" t="str">
            <v>VAR_fout</v>
          </cell>
          <cell r="C612" t="str">
            <v>T-ELC-Bus_c_BatSTGin_S1</v>
          </cell>
          <cell r="H612">
            <v>0.13904763948478555</v>
          </cell>
          <cell r="I612">
            <v>0.1126190395207002</v>
          </cell>
          <cell r="J612">
            <v>0.11967915978158557</v>
          </cell>
        </row>
        <row r="613">
          <cell r="A613" t="str">
            <v>D-T-ELC-Bus_c_S1</v>
          </cell>
          <cell r="B613" t="str">
            <v>VAR_fin</v>
          </cell>
          <cell r="C613" t="str">
            <v>TELC</v>
          </cell>
          <cell r="H613">
            <v>0.13904763948478555</v>
          </cell>
          <cell r="I613">
            <v>0.1126190395207002</v>
          </cell>
          <cell r="J613">
            <v>0.11967915978158557</v>
          </cell>
        </row>
        <row r="614">
          <cell r="A614" t="str">
            <v>D-T-ELC-Bus_c_S1</v>
          </cell>
          <cell r="B614" t="str">
            <v>VAR_ncap</v>
          </cell>
          <cell r="C614" t="str">
            <v>-</v>
          </cell>
          <cell r="H614">
            <v>5.70825616748995E-3</v>
          </cell>
          <cell r="I614">
            <v>6.5238667207711204E-3</v>
          </cell>
          <cell r="J614">
            <v>1.09553631492302E-2</v>
          </cell>
        </row>
        <row r="615">
          <cell r="A615" t="str">
            <v>D-T-ELC-Bus_c_S1</v>
          </cell>
          <cell r="B615" t="str">
            <v>VAR_cap</v>
          </cell>
          <cell r="C615" t="str">
            <v>-</v>
          </cell>
          <cell r="H615">
            <v>1.72246286751199E-2</v>
          </cell>
          <cell r="I615">
            <v>1.42675960750518E-2</v>
          </cell>
          <cell r="J615">
            <v>1.5228850911417E-2</v>
          </cell>
        </row>
        <row r="616">
          <cell r="A616" t="str">
            <v>T_C-HY-GSL-S4</v>
          </cell>
          <cell r="B616" t="str">
            <v>VAR_fout</v>
          </cell>
          <cell r="C616" t="str">
            <v>CO2_T</v>
          </cell>
          <cell r="H616">
            <v>1.2049674539868047</v>
          </cell>
          <cell r="I616">
            <v>1.422500345732924E-2</v>
          </cell>
        </row>
        <row r="617">
          <cell r="A617" t="str">
            <v>T_C-HY-GSL-S4</v>
          </cell>
          <cell r="B617" t="str">
            <v>VAR_fout</v>
          </cell>
          <cell r="C617" t="str">
            <v>TPCAR</v>
          </cell>
          <cell r="H617">
            <v>2.5919949528665411E-2</v>
          </cell>
          <cell r="I617">
            <v>1.6300086517604995E-4</v>
          </cell>
        </row>
        <row r="618">
          <cell r="A618" t="str">
            <v>T_C-HY-GSL-S4</v>
          </cell>
          <cell r="B618" t="str">
            <v>VAR_fin</v>
          </cell>
          <cell r="C618" t="str">
            <v>TGSL</v>
          </cell>
          <cell r="H618">
            <v>1.6327472276243989E-2</v>
          </cell>
          <cell r="I618">
            <v>1.9275072435405479E-4</v>
          </cell>
        </row>
        <row r="619">
          <cell r="A619" t="str">
            <v>T_C-HY-GSL-S4</v>
          </cell>
          <cell r="B619" t="str">
            <v>VAR_ncap</v>
          </cell>
          <cell r="C619" t="str">
            <v>-</v>
          </cell>
        </row>
        <row r="620">
          <cell r="A620" t="str">
            <v>T_C-HY-GSL-S4</v>
          </cell>
          <cell r="B620" t="str">
            <v>VAR_cap</v>
          </cell>
          <cell r="C620" t="str">
            <v>-</v>
          </cell>
          <cell r="H620">
            <v>2.0783027709165864E-3</v>
          </cell>
          <cell r="I620">
            <v>1.48318934133018E-5</v>
          </cell>
        </row>
        <row r="621">
          <cell r="A621" t="str">
            <v>T_C-HY-DSL-S3</v>
          </cell>
          <cell r="B621" t="str">
            <v>VAR_fout</v>
          </cell>
          <cell r="C621" t="str">
            <v>CO2_T</v>
          </cell>
          <cell r="H621">
            <v>0.49953191312641587</v>
          </cell>
          <cell r="I621">
            <v>1.117468467526724E-2</v>
          </cell>
        </row>
        <row r="622">
          <cell r="A622" t="str">
            <v>T_C-HY-DSL-S3</v>
          </cell>
          <cell r="B622" t="str">
            <v>VAR_fout</v>
          </cell>
          <cell r="C622" t="str">
            <v>TPCAR</v>
          </cell>
          <cell r="H622">
            <v>9.9208019678079344E-3</v>
          </cell>
          <cell r="I622">
            <v>1.3424492077102984E-4</v>
          </cell>
        </row>
        <row r="623">
          <cell r="A623" t="str">
            <v>T_C-HY-DSL-S3</v>
          </cell>
          <cell r="B623" t="str">
            <v>VAR_fin</v>
          </cell>
          <cell r="C623" t="str">
            <v>TDSL</v>
          </cell>
          <cell r="H623">
            <v>6.8148964955854797E-3</v>
          </cell>
          <cell r="I623">
            <v>1.5245135982629247E-4</v>
          </cell>
        </row>
        <row r="624">
          <cell r="A624" t="str">
            <v>T_C-HY-DSL-S3</v>
          </cell>
          <cell r="B624" t="str">
            <v>VAR_ncap</v>
          </cell>
          <cell r="C624" t="str">
            <v>-</v>
          </cell>
        </row>
        <row r="625">
          <cell r="A625" t="str">
            <v>T_C-HY-DSL-S3</v>
          </cell>
          <cell r="B625" t="str">
            <v>VAR_cap</v>
          </cell>
          <cell r="C625" t="str">
            <v>-</v>
          </cell>
          <cell r="H625">
            <v>6.9765952825801664E-4</v>
          </cell>
          <cell r="I625">
            <v>1.0241789595677435E-5</v>
          </cell>
        </row>
        <row r="626">
          <cell r="A626" t="str">
            <v>D-T-ELC-Bus_c_S2</v>
          </cell>
          <cell r="B626" t="str">
            <v>VAR_fout</v>
          </cell>
          <cell r="C626" t="str">
            <v>T-ELC-Bus_c_BatSTGin_S2</v>
          </cell>
          <cell r="H626">
            <v>9.7033700139175824E-2</v>
          </cell>
          <cell r="I626">
            <v>0.15475517532245939</v>
          </cell>
          <cell r="J626">
            <v>0.14821214901859062</v>
          </cell>
        </row>
        <row r="627">
          <cell r="A627" t="str">
            <v>D-T-ELC-Bus_c_S2</v>
          </cell>
          <cell r="B627" t="str">
            <v>VAR_fin</v>
          </cell>
          <cell r="C627" t="str">
            <v>TELC</v>
          </cell>
          <cell r="H627">
            <v>9.7033700139175824E-2</v>
          </cell>
          <cell r="I627">
            <v>0.15475517532245939</v>
          </cell>
          <cell r="J627">
            <v>0.14821214901859062</v>
          </cell>
        </row>
        <row r="628">
          <cell r="A628" t="str">
            <v>D-T-ELC-Bus_c_S2</v>
          </cell>
          <cell r="B628" t="str">
            <v>VAR_ncap</v>
          </cell>
          <cell r="C628" t="str">
            <v>-</v>
          </cell>
          <cell r="H628">
            <v>1.09306429415635E-2</v>
          </cell>
          <cell r="I628">
            <v>8.4666368127333403E-3</v>
          </cell>
          <cell r="J628">
            <v>1.2691734111851099E-2</v>
          </cell>
        </row>
        <row r="629">
          <cell r="A629" t="str">
            <v>D-T-ELC-Bus_c_S2</v>
          </cell>
          <cell r="B629" t="str">
            <v>VAR_cap</v>
          </cell>
          <cell r="C629" t="str">
            <v>-</v>
          </cell>
          <cell r="H629">
            <v>1.19222522288903E-2</v>
          </cell>
          <cell r="I629">
            <v>1.9568544363500098E-2</v>
          </cell>
          <cell r="J629">
            <v>1.8856000885701E-2</v>
          </cell>
        </row>
        <row r="630">
          <cell r="A630" t="str">
            <v>T_C-HY-DSL-S4</v>
          </cell>
          <cell r="B630" t="str">
            <v>VAR_fout</v>
          </cell>
          <cell r="C630" t="str">
            <v>CO2_T</v>
          </cell>
          <cell r="H630">
            <v>0.95204069760560639</v>
          </cell>
          <cell r="I630">
            <v>1.1886708292193321E-2</v>
          </cell>
        </row>
        <row r="631">
          <cell r="A631" t="str">
            <v>T_C-HY-DSL-S4</v>
          </cell>
          <cell r="B631" t="str">
            <v>VAR_fout</v>
          </cell>
          <cell r="C631" t="str">
            <v>TPCAR</v>
          </cell>
          <cell r="H631">
            <v>2.0427295572245898E-2</v>
          </cell>
          <cell r="I631">
            <v>1.4286331222961707E-4</v>
          </cell>
        </row>
        <row r="632">
          <cell r="A632" t="str">
            <v>T_C-HY-DSL-S4</v>
          </cell>
          <cell r="B632" t="str">
            <v>VAR_fin</v>
          </cell>
          <cell r="C632" t="str">
            <v>TDSL</v>
          </cell>
          <cell r="H632">
            <v>1.2988276911399798E-2</v>
          </cell>
          <cell r="I632">
            <v>1.6216518816089111E-4</v>
          </cell>
        </row>
        <row r="633">
          <cell r="A633" t="str">
            <v>T_C-HY-DSL-S4</v>
          </cell>
          <cell r="B633" t="str">
            <v>VAR_ncap</v>
          </cell>
          <cell r="C633" t="str">
            <v>-</v>
          </cell>
        </row>
        <row r="634">
          <cell r="A634" t="str">
            <v>T_C-HY-DSL-S4</v>
          </cell>
          <cell r="B634" t="str">
            <v>VAR_cap</v>
          </cell>
          <cell r="C634" t="str">
            <v>-</v>
          </cell>
          <cell r="H634">
            <v>1.6466232599337189E-3</v>
          </cell>
          <cell r="I634">
            <v>1.2907516283869736E-5</v>
          </cell>
        </row>
        <row r="635">
          <cell r="A635" t="str">
            <v>D-T-ELC-Bus_c_S3</v>
          </cell>
          <cell r="B635" t="str">
            <v>VAR_fout</v>
          </cell>
          <cell r="C635" t="str">
            <v>T-ELC-Bus_c_BatSTGin_S3</v>
          </cell>
          <cell r="H635">
            <v>3.0401356590973188E-2</v>
          </cell>
          <cell r="I635">
            <v>5.3470544314717774E-2</v>
          </cell>
          <cell r="J635">
            <v>4.70051938379328E-2</v>
          </cell>
        </row>
        <row r="636">
          <cell r="A636" t="str">
            <v>D-T-ELC-Bus_c_S3</v>
          </cell>
          <cell r="B636" t="str">
            <v>VAR_fin</v>
          </cell>
          <cell r="C636" t="str">
            <v>TELC</v>
          </cell>
          <cell r="H636">
            <v>3.0401356590973188E-2</v>
          </cell>
          <cell r="I636">
            <v>5.3470544314717774E-2</v>
          </cell>
          <cell r="J636">
            <v>4.70051938379328E-2</v>
          </cell>
        </row>
        <row r="637">
          <cell r="A637" t="str">
            <v>D-T-ELC-Bus_c_S3</v>
          </cell>
          <cell r="B637" t="str">
            <v>VAR_ncap</v>
          </cell>
          <cell r="C637" t="str">
            <v>-</v>
          </cell>
          <cell r="H637">
            <v>3.5549084602299E-3</v>
          </cell>
          <cell r="I637">
            <v>3.18121854153073E-3</v>
          </cell>
          <cell r="J637">
            <v>4.8679553689866999E-3</v>
          </cell>
        </row>
        <row r="638">
          <cell r="A638" t="str">
            <v>D-T-ELC-Bus_c_S3</v>
          </cell>
          <cell r="B638" t="str">
            <v>VAR_cap</v>
          </cell>
          <cell r="C638" t="str">
            <v>-</v>
          </cell>
          <cell r="H638">
            <v>3.6881463588641899E-3</v>
          </cell>
          <cell r="I638">
            <v>6.73612700176064E-3</v>
          </cell>
          <cell r="J638">
            <v>5.9575903099980303E-3</v>
          </cell>
        </row>
        <row r="639">
          <cell r="A639" t="str">
            <v>D-T-ELC-Bus_c_S4</v>
          </cell>
          <cell r="B639" t="str">
            <v>VAR_fout</v>
          </cell>
          <cell r="C639" t="str">
            <v>T-ELC-Bus_c_BatSTGin_S4</v>
          </cell>
          <cell r="H639">
            <v>8.2738316226083563E-4</v>
          </cell>
          <cell r="I639">
            <v>1.0337083510191802E-3</v>
          </cell>
          <cell r="J639">
            <v>5.2569243007766805E-4</v>
          </cell>
        </row>
        <row r="640">
          <cell r="A640" t="str">
            <v>D-T-ELC-Bus_c_S4</v>
          </cell>
          <cell r="B640" t="str">
            <v>VAR_fin</v>
          </cell>
          <cell r="C640" t="str">
            <v>TELC</v>
          </cell>
          <cell r="H640">
            <v>8.2738316226083563E-4</v>
          </cell>
          <cell r="I640">
            <v>1.0337083510191802E-3</v>
          </cell>
          <cell r="J640">
            <v>5.2569243007766805E-4</v>
          </cell>
        </row>
        <row r="641">
          <cell r="A641" t="str">
            <v>D-T-ELC-Bus_c_S4</v>
          </cell>
          <cell r="B641" t="str">
            <v>VAR_ncap</v>
          </cell>
          <cell r="C641" t="str">
            <v>-</v>
          </cell>
          <cell r="H641">
            <v>1.32077311052864E-4</v>
          </cell>
          <cell r="I641">
            <v>1.4352246558178901E-4</v>
          </cell>
          <cell r="J641">
            <v>7.4279197473960102E-5</v>
          </cell>
        </row>
        <row r="642">
          <cell r="A642" t="str">
            <v>D-T-ELC-Bus_c_S4</v>
          </cell>
          <cell r="B642" t="str">
            <v>VAR_cap</v>
          </cell>
          <cell r="C642" t="str">
            <v>-</v>
          </cell>
          <cell r="H642">
            <v>1.55388692457672E-4</v>
          </cell>
          <cell r="I642">
            <v>2.3372946084704199E-4</v>
          </cell>
          <cell r="J642">
            <v>9.9465759240687705E-5</v>
          </cell>
        </row>
        <row r="643">
          <cell r="A643" t="str">
            <v>D-TH2O</v>
          </cell>
          <cell r="B643" t="str">
            <v>VAR_fout</v>
          </cell>
          <cell r="C643" t="str">
            <v>TH2Ointl</v>
          </cell>
          <cell r="J643">
            <v>8.6467401242071707E-6</v>
          </cell>
        </row>
        <row r="644">
          <cell r="A644" t="str">
            <v>D-TH2O</v>
          </cell>
          <cell r="B644" t="str">
            <v>VAR_fout</v>
          </cell>
          <cell r="C644" t="str">
            <v>TH2O</v>
          </cell>
          <cell r="H644">
            <v>1.7601083246509416E-3</v>
          </cell>
          <cell r="I644">
            <v>9.2160572358541901E-2</v>
          </cell>
          <cell r="J644">
            <v>9.2026967303710863E-2</v>
          </cell>
        </row>
        <row r="645">
          <cell r="A645" t="str">
            <v>D-TH2O</v>
          </cell>
          <cell r="B645" t="str">
            <v>VAR_fin</v>
          </cell>
          <cell r="C645" t="str">
            <v>H2</v>
          </cell>
          <cell r="H645">
            <v>1.7601083246509416E-3</v>
          </cell>
          <cell r="I645">
            <v>9.2160572358541901E-2</v>
          </cell>
          <cell r="J645">
            <v>9.2035614043835076E-2</v>
          </cell>
        </row>
        <row r="646">
          <cell r="A646" t="str">
            <v>D-TH2O</v>
          </cell>
          <cell r="B646" t="str">
            <v>VAR_ncap</v>
          </cell>
          <cell r="C646" t="str">
            <v>-</v>
          </cell>
          <cell r="H646">
            <v>6.0118438310119102E-6</v>
          </cell>
          <cell r="I646">
            <v>9.1030652489124692E-3</v>
          </cell>
          <cell r="J646">
            <v>6.4599398473094796E-7</v>
          </cell>
        </row>
        <row r="647">
          <cell r="A647" t="str">
            <v>D-TH2O</v>
          </cell>
          <cell r="B647" t="str">
            <v>VAR_cap</v>
          </cell>
          <cell r="C647" t="str">
            <v>-</v>
          </cell>
          <cell r="H647">
            <v>9.3772687650568699E-4</v>
          </cell>
          <cell r="I647">
            <v>1.00407921254182E-2</v>
          </cell>
          <cell r="J647">
            <v>1.0041438119402901E-2</v>
          </cell>
        </row>
        <row r="648">
          <cell r="A648" t="str">
            <v>TFHGV-HYBDSL</v>
          </cell>
          <cell r="B648" t="str">
            <v>VAR_fout</v>
          </cell>
          <cell r="C648" t="str">
            <v>CO2_T</v>
          </cell>
          <cell r="H648">
            <v>598.52695074164467</v>
          </cell>
          <cell r="I648">
            <v>486.46110352150839</v>
          </cell>
          <cell r="J648">
            <v>13.289271479910701</v>
          </cell>
        </row>
        <row r="649">
          <cell r="A649" t="str">
            <v>TFHGV-HYBDSL</v>
          </cell>
          <cell r="B649" t="str">
            <v>VAR_fout</v>
          </cell>
          <cell r="C649" t="str">
            <v>TFHGV</v>
          </cell>
          <cell r="H649">
            <v>1.3347792160001093</v>
          </cell>
          <cell r="I649">
            <v>1.0848603718987184</v>
          </cell>
          <cell r="J649">
            <v>2.9636498983359152E-2</v>
          </cell>
        </row>
        <row r="650">
          <cell r="A650" t="str">
            <v>TFHGV-HYBDSL</v>
          </cell>
          <cell r="B650" t="str">
            <v>VAR_fin</v>
          </cell>
          <cell r="C650" t="str">
            <v>TDSL</v>
          </cell>
          <cell r="H650">
            <v>8.1654427113457686</v>
          </cell>
          <cell r="I650">
            <v>6.6365771285335446</v>
          </cell>
          <cell r="J650">
            <v>0.18129974733848167</v>
          </cell>
        </row>
        <row r="651">
          <cell r="A651" t="str">
            <v>TFHGV-HYBDSL</v>
          </cell>
          <cell r="B651" t="str">
            <v>VAR_ncap</v>
          </cell>
          <cell r="C651" t="str">
            <v>-</v>
          </cell>
          <cell r="H651">
            <v>2.61211171797745E-2</v>
          </cell>
          <cell r="I651">
            <v>4.5372453866620701E-3</v>
          </cell>
        </row>
        <row r="652">
          <cell r="A652" t="str">
            <v>TFHGV-HYBDSL</v>
          </cell>
          <cell r="B652" t="str">
            <v>VAR_cap</v>
          </cell>
          <cell r="C652" t="str">
            <v>-</v>
          </cell>
          <cell r="H652">
            <v>2.6174457844321999E-2</v>
          </cell>
          <cell r="I652">
            <v>2.2377580799590225E-2</v>
          </cell>
          <cell r="J652">
            <v>7.9623500557019302E-4</v>
          </cell>
        </row>
        <row r="653">
          <cell r="A653" t="str">
            <v>D-TKER</v>
          </cell>
          <cell r="B653" t="str">
            <v>VAR_fout</v>
          </cell>
          <cell r="C653" t="str">
            <v>CO2</v>
          </cell>
          <cell r="H653">
            <v>188.15185841262701</v>
          </cell>
          <cell r="I653">
            <v>156.467580213378</v>
          </cell>
          <cell r="J653">
            <v>4.67714387436882E-5</v>
          </cell>
        </row>
        <row r="654">
          <cell r="A654" t="str">
            <v>D-TKER</v>
          </cell>
          <cell r="B654" t="str">
            <v>VAR_fout</v>
          </cell>
          <cell r="C654" t="str">
            <v>TKER</v>
          </cell>
          <cell r="H654">
            <v>2.5465214147841699</v>
          </cell>
          <cell r="I654">
            <v>2.1176939047766901</v>
          </cell>
          <cell r="J654">
            <v>6.3302308765861504E-7</v>
          </cell>
        </row>
        <row r="655">
          <cell r="A655" t="str">
            <v>D-TKER</v>
          </cell>
          <cell r="B655" t="str">
            <v>VAR_fin</v>
          </cell>
          <cell r="C655" t="str">
            <v>KER</v>
          </cell>
          <cell r="H655">
            <v>2.5845035496240074</v>
          </cell>
          <cell r="I655">
            <v>2.1492799479859666</v>
          </cell>
          <cell r="J655">
            <v>6.4246481790780349E-7</v>
          </cell>
        </row>
        <row r="656">
          <cell r="A656" t="str">
            <v>T_B_u-BEVELC-S1</v>
          </cell>
          <cell r="B656" t="str">
            <v>VAR_fout</v>
          </cell>
          <cell r="C656" t="str">
            <v>TPBSu</v>
          </cell>
          <cell r="H656">
            <v>0.12873223102443274</v>
          </cell>
          <cell r="I656">
            <v>5.9478752316555986E-2</v>
          </cell>
          <cell r="J656">
            <v>0.10537945373595627</v>
          </cell>
        </row>
        <row r="657">
          <cell r="A657" t="str">
            <v>T_B_u-BEVELC-S1</v>
          </cell>
          <cell r="B657" t="str">
            <v>VAR_fin</v>
          </cell>
          <cell r="C657" t="str">
            <v>T-ELC-Bus_u_BatSTGout_S1</v>
          </cell>
          <cell r="H657">
            <v>0.27338632092672982</v>
          </cell>
          <cell r="I657">
            <v>0.1261292370660359</v>
          </cell>
          <cell r="J657">
            <v>0.19775974269128738</v>
          </cell>
        </row>
        <row r="658">
          <cell r="A658" t="str">
            <v>T_B_u-BEVELC-S1</v>
          </cell>
          <cell r="B658" t="str">
            <v>VAR_ncap</v>
          </cell>
          <cell r="C658" t="str">
            <v>-</v>
          </cell>
          <cell r="H658">
            <v>2.5186148437821802E-3</v>
          </cell>
          <cell r="I658">
            <v>2.7859284162820301E-5</v>
          </cell>
          <cell r="J658">
            <v>1.7483760559077999E-3</v>
          </cell>
        </row>
        <row r="659">
          <cell r="A659" t="str">
            <v>T_B_u-BEVELC-S1</v>
          </cell>
          <cell r="B659" t="str">
            <v>VAR_cap</v>
          </cell>
          <cell r="C659" t="str">
            <v>-</v>
          </cell>
          <cell r="H659">
            <v>2.5397422739524998E-3</v>
          </cell>
          <cell r="I659">
            <v>1.3146325517383801E-3</v>
          </cell>
          <cell r="J659">
            <v>1.9877874986349029E-3</v>
          </cell>
        </row>
        <row r="660">
          <cell r="A660" t="str">
            <v>TPSHPH2OEXT</v>
          </cell>
          <cell r="B660" t="str">
            <v>VAR_fout</v>
          </cell>
          <cell r="C660" t="str">
            <v>TPSHP</v>
          </cell>
          <cell r="H660">
            <v>1.62214938196172E-4</v>
          </cell>
          <cell r="I660">
            <v>0.16150988129621999</v>
          </cell>
          <cell r="J660">
            <v>0.16151242035312499</v>
          </cell>
        </row>
        <row r="661">
          <cell r="A661" t="str">
            <v>TPSHPH2OEXT</v>
          </cell>
          <cell r="B661" t="str">
            <v>VAR_fin</v>
          </cell>
          <cell r="C661" t="str">
            <v>TH2O</v>
          </cell>
          <cell r="H661">
            <v>9.0447117054834992E-5</v>
          </cell>
          <cell r="I661">
            <v>9.0053994419709946E-2</v>
          </cell>
          <cell r="J661">
            <v>9.0055410136287123E-2</v>
          </cell>
        </row>
        <row r="662">
          <cell r="A662" t="str">
            <v>TPSHPH2OEXT</v>
          </cell>
          <cell r="B662" t="str">
            <v>VAR_ncap</v>
          </cell>
          <cell r="C662" t="str">
            <v>-</v>
          </cell>
          <cell r="H662">
            <v>1.6453257777905201E-4</v>
          </cell>
          <cell r="I662">
            <v>0.16134968216097101</v>
          </cell>
          <cell r="J662">
            <v>1.6953288700396399E-5</v>
          </cell>
        </row>
        <row r="663">
          <cell r="A663" t="str">
            <v>TPSHPH2OEXT</v>
          </cell>
          <cell r="B663" t="str">
            <v>VAR_cap</v>
          </cell>
          <cell r="C663" t="str">
            <v>-</v>
          </cell>
          <cell r="H663">
            <v>1.6453257777905201E-4</v>
          </cell>
          <cell r="I663">
            <v>0.16151253359259721</v>
          </cell>
          <cell r="J663">
            <v>0.16149018887183589</v>
          </cell>
        </row>
        <row r="664">
          <cell r="A664" t="str">
            <v>T_B_u-BEVELC-S2</v>
          </cell>
          <cell r="B664" t="str">
            <v>VAR_fout</v>
          </cell>
          <cell r="C664" t="str">
            <v>TPBSu</v>
          </cell>
          <cell r="H664">
            <v>4.2134182275981924E-2</v>
          </cell>
          <cell r="I664">
            <v>4.9537985888299406E-2</v>
          </cell>
          <cell r="J664">
            <v>5.4525671470099089E-2</v>
          </cell>
        </row>
        <row r="665">
          <cell r="A665" t="str">
            <v>T_B_u-BEVELC-S2</v>
          </cell>
          <cell r="B665" t="str">
            <v>VAR_fin</v>
          </cell>
          <cell r="C665" t="str">
            <v>T-ELC-Bus_u_BatSTGout_S2</v>
          </cell>
          <cell r="H665">
            <v>0.1236299719512068</v>
          </cell>
          <cell r="I665">
            <v>0.14395900436649242</v>
          </cell>
          <cell r="J665">
            <v>0.14271563603879092</v>
          </cell>
        </row>
        <row r="666">
          <cell r="A666" t="str">
            <v>T_B_u-BEVELC-S2</v>
          </cell>
          <cell r="B666" t="str">
            <v>VAR_ncap</v>
          </cell>
          <cell r="C666" t="str">
            <v>-</v>
          </cell>
          <cell r="H666">
            <v>7.7263046458311098E-4</v>
          </cell>
          <cell r="I666">
            <v>1.59808807894716E-4</v>
          </cell>
          <cell r="J666">
            <v>8.1257373600851902E-4</v>
          </cell>
        </row>
        <row r="667">
          <cell r="A667" t="str">
            <v>T_B_u-BEVELC-S2</v>
          </cell>
          <cell r="B667" t="str">
            <v>VAR_cap</v>
          </cell>
          <cell r="C667" t="str">
            <v>-</v>
          </cell>
          <cell r="H667">
            <v>7.95490580672676E-4</v>
          </cell>
          <cell r="I667">
            <v>9.3492793079604853E-4</v>
          </cell>
          <cell r="J667">
            <v>1.0282871206809996E-3</v>
          </cell>
        </row>
        <row r="668">
          <cell r="A668" t="str">
            <v>TFHGV-ICEDSL</v>
          </cell>
          <cell r="B668" t="str">
            <v>VAR_fout</v>
          </cell>
          <cell r="C668" t="str">
            <v>CO2_T</v>
          </cell>
          <cell r="H668">
            <v>0.11569573289996271</v>
          </cell>
          <cell r="I668">
            <v>0.1013311530145395</v>
          </cell>
          <cell r="J668">
            <v>9.1165766361651392E-3</v>
          </cell>
        </row>
        <row r="669">
          <cell r="A669" t="str">
            <v>TFHGV-ICEDSL</v>
          </cell>
          <cell r="B669" t="str">
            <v>VAR_fout</v>
          </cell>
          <cell r="C669" t="str">
            <v>TFHGV</v>
          </cell>
          <cell r="H669">
            <v>1.8736002948377604E-4</v>
          </cell>
          <cell r="I669">
            <v>1.6409773585033646E-4</v>
          </cell>
          <cell r="J669">
            <v>1.4763570138061278E-5</v>
          </cell>
        </row>
        <row r="670">
          <cell r="A670" t="str">
            <v>TFHGV-ICEDSL</v>
          </cell>
          <cell r="B670" t="str">
            <v>VAR_fin</v>
          </cell>
          <cell r="C670" t="str">
            <v>TDSL</v>
          </cell>
          <cell r="H670">
            <v>1.5783865334237745E-3</v>
          </cell>
          <cell r="I670">
            <v>1.3824168214807584E-3</v>
          </cell>
          <cell r="J670">
            <v>1.2437348753294861E-4</v>
          </cell>
        </row>
        <row r="671">
          <cell r="A671" t="str">
            <v>TFHGV-ICEDSL</v>
          </cell>
          <cell r="B671" t="str">
            <v>VAR_ncap</v>
          </cell>
          <cell r="C671" t="str">
            <v>-</v>
          </cell>
          <cell r="H671">
            <v>3.50379256917372E-6</v>
          </cell>
          <cell r="I671">
            <v>1.87132477966059E-6</v>
          </cell>
        </row>
        <row r="672">
          <cell r="A672" t="str">
            <v>TFHGV-ICEDSL</v>
          </cell>
          <cell r="B672" t="str">
            <v>VAR_cap</v>
          </cell>
          <cell r="C672" t="str">
            <v>-</v>
          </cell>
          <cell r="H672">
            <v>4.1350871800317901E-6</v>
          </cell>
          <cell r="I672">
            <v>3.8571108600476125E-6</v>
          </cell>
          <cell r="J672">
            <v>3.2839623370091801E-7</v>
          </cell>
        </row>
        <row r="673">
          <cell r="A673" t="str">
            <v>D-T-ELC-Bus_u_S1</v>
          </cell>
          <cell r="B673" t="str">
            <v>VAR_fout</v>
          </cell>
          <cell r="C673" t="str">
            <v>T-ELC-Bus_u_BatSTGin_S1</v>
          </cell>
          <cell r="H673">
            <v>0.27391250727184996</v>
          </cell>
          <cell r="I673">
            <v>0.12674250278626428</v>
          </cell>
          <cell r="J673">
            <v>0.19808385582862167</v>
          </cell>
        </row>
        <row r="674">
          <cell r="A674" t="str">
            <v>D-T-ELC-Bus_u_S1</v>
          </cell>
          <cell r="B674" t="str">
            <v>VAR_fin</v>
          </cell>
          <cell r="C674" t="str">
            <v>TELC</v>
          </cell>
          <cell r="H674">
            <v>0.27391250727184996</v>
          </cell>
          <cell r="I674">
            <v>0.12674250278626428</v>
          </cell>
          <cell r="J674">
            <v>0.19808385582862167</v>
          </cell>
        </row>
        <row r="675">
          <cell r="A675" t="str">
            <v>D-T-ELC-Bus_u_S1</v>
          </cell>
          <cell r="B675" t="str">
            <v>VAR_ncap</v>
          </cell>
          <cell r="C675" t="str">
            <v>-</v>
          </cell>
          <cell r="H675">
            <v>3.9895294245421197E-3</v>
          </cell>
          <cell r="I675">
            <v>5.0779970688674498E-3</v>
          </cell>
          <cell r="J675">
            <v>1.7691223042747801E-2</v>
          </cell>
        </row>
        <row r="676">
          <cell r="A676" t="str">
            <v>D-T-ELC-Bus_u_S1</v>
          </cell>
          <cell r="B676" t="str">
            <v>VAR_cap</v>
          </cell>
          <cell r="C676" t="str">
            <v>-</v>
          </cell>
          <cell r="H676">
            <v>2.8960677216929E-2</v>
          </cell>
          <cell r="I676">
            <v>1.3446157174015899E-2</v>
          </cell>
          <cell r="J676">
            <v>2.0937982513555699E-2</v>
          </cell>
        </row>
        <row r="677">
          <cell r="A677" t="str">
            <v>T-Plg-DSL-mix_S1</v>
          </cell>
          <cell r="B677" t="str">
            <v>VAR_fout</v>
          </cell>
          <cell r="C677" t="str">
            <v>CO2_T</v>
          </cell>
          <cell r="H677">
            <v>0.72370646097628699</v>
          </cell>
          <cell r="I677">
            <v>0.34080272534779443</v>
          </cell>
          <cell r="J677">
            <v>3.0454869593216298E-2</v>
          </cell>
        </row>
        <row r="678">
          <cell r="A678" t="str">
            <v>T-Plg-DSL-mix_S1</v>
          </cell>
          <cell r="B678" t="str">
            <v>VAR_fout</v>
          </cell>
          <cell r="C678" t="str">
            <v>T-PEVmix-ELC_DSL_S1</v>
          </cell>
          <cell r="H678">
            <v>7.1917040693164043E-3</v>
          </cell>
          <cell r="I678">
            <v>3.5512661972646339E-3</v>
          </cell>
          <cell r="J678">
            <v>3.3001694887686671E-4</v>
          </cell>
        </row>
        <row r="679">
          <cell r="A679" t="str">
            <v>T-Plg-DSL-mix_S1</v>
          </cell>
          <cell r="B679" t="str">
            <v>VAR_fin</v>
          </cell>
          <cell r="C679" t="str">
            <v>TDSL</v>
          </cell>
          <cell r="H679">
            <v>9.873212291627376E-3</v>
          </cell>
          <cell r="I679">
            <v>4.6494232653178031E-3</v>
          </cell>
          <cell r="J679">
            <v>4.1548253196748011E-4</v>
          </cell>
        </row>
        <row r="680">
          <cell r="A680" t="str">
            <v>T_B_u-BEVELC-S3</v>
          </cell>
          <cell r="B680" t="str">
            <v>VAR_fout</v>
          </cell>
          <cell r="C680" t="str">
            <v>TPBSu</v>
          </cell>
          <cell r="H680">
            <v>0.12070008120222372</v>
          </cell>
          <cell r="I680">
            <v>0.21701756972579528</v>
          </cell>
          <cell r="J680">
            <v>0.23853471801788906</v>
          </cell>
        </row>
        <row r="681">
          <cell r="A681" t="str">
            <v>T_B_u-BEVELC-S3</v>
          </cell>
          <cell r="B681" t="str">
            <v>VAR_fin</v>
          </cell>
          <cell r="C681" t="str">
            <v>T-ELC-Bus_u_BatSTGout_S3</v>
          </cell>
          <cell r="H681">
            <v>0.53059445769561753</v>
          </cell>
          <cell r="I681">
            <v>0.93317430875459129</v>
          </cell>
          <cell r="J681">
            <v>0.92216573377944377</v>
          </cell>
        </row>
        <row r="682">
          <cell r="A682" t="str">
            <v>T_B_u-BEVELC-S3</v>
          </cell>
          <cell r="B682" t="str">
            <v>VAR_ncap</v>
          </cell>
          <cell r="C682" t="str">
            <v>-</v>
          </cell>
          <cell r="H682">
            <v>2.2639067996418501E-3</v>
          </cell>
          <cell r="I682">
            <v>1.8285430000893801E-3</v>
          </cell>
          <cell r="J682">
            <v>3.87174797678641E-3</v>
          </cell>
        </row>
        <row r="683">
          <cell r="A683" t="str">
            <v>T_B_u-BEVELC-S3</v>
          </cell>
          <cell r="B683" t="str">
            <v>VAR_cap</v>
          </cell>
          <cell r="C683" t="str">
            <v>-</v>
          </cell>
          <cell r="H683">
            <v>2.2761920031696011E-3</v>
          </cell>
          <cell r="I683">
            <v>4.0924497997312298E-3</v>
          </cell>
          <cell r="J683">
            <v>4.4980628049026703E-3</v>
          </cell>
        </row>
        <row r="684">
          <cell r="A684" t="str">
            <v>D-T-ELC-Bus_u_S2</v>
          </cell>
          <cell r="B684" t="str">
            <v>VAR_fout</v>
          </cell>
          <cell r="C684" t="str">
            <v>T-ELC-Bus_u_BatSTGin_S2</v>
          </cell>
          <cell r="H684">
            <v>0.12411791979714373</v>
          </cell>
          <cell r="I684">
            <v>0.14435904117635567</v>
          </cell>
          <cell r="J684">
            <v>0.14299371339469027</v>
          </cell>
        </row>
        <row r="685">
          <cell r="A685" t="str">
            <v>D-T-ELC-Bus_u_S2</v>
          </cell>
          <cell r="B685" t="str">
            <v>VAR_fin</v>
          </cell>
          <cell r="C685" t="str">
            <v>TELC</v>
          </cell>
          <cell r="H685">
            <v>0.12411791979714373</v>
          </cell>
          <cell r="I685">
            <v>0.14435904117635567</v>
          </cell>
          <cell r="J685">
            <v>0.14299371339469027</v>
          </cell>
        </row>
        <row r="686">
          <cell r="A686" t="str">
            <v>D-T-ELC-Bus_u_S2</v>
          </cell>
          <cell r="B686" t="str">
            <v>VAR_ncap</v>
          </cell>
          <cell r="C686" t="str">
            <v>-</v>
          </cell>
          <cell r="H686">
            <v>5.8921698022805702E-3</v>
          </cell>
          <cell r="I686">
            <v>8.1283651406372295E-3</v>
          </cell>
          <cell r="J686">
            <v>1.0005046571294701E-2</v>
          </cell>
        </row>
        <row r="687">
          <cell r="A687" t="str">
            <v>D-T-ELC-Bus_u_S2</v>
          </cell>
          <cell r="B687" t="str">
            <v>VAR_cap</v>
          </cell>
          <cell r="C687" t="str">
            <v>-</v>
          </cell>
          <cell r="H687">
            <v>1.3127230412875999E-2</v>
          </cell>
          <cell r="I687">
            <v>1.5264261991915299E-2</v>
          </cell>
          <cell r="J687">
            <v>1.51154735317741E-2</v>
          </cell>
        </row>
        <row r="688">
          <cell r="A688" t="str">
            <v>T-Plg-DSL-mix_S2</v>
          </cell>
          <cell r="B688" t="str">
            <v>VAR_fout</v>
          </cell>
          <cell r="C688" t="str">
            <v>CO2_T</v>
          </cell>
          <cell r="H688">
            <v>2.7885228200030503</v>
          </cell>
          <cell r="I688">
            <v>1.5913356451646374</v>
          </cell>
          <cell r="J688">
            <v>0.24199907264825088</v>
          </cell>
        </row>
        <row r="689">
          <cell r="A689" t="str">
            <v>T-Plg-DSL-mix_S2</v>
          </cell>
          <cell r="B689" t="str">
            <v>VAR_fout</v>
          </cell>
          <cell r="C689" t="str">
            <v>T-PEVmix-ELC_DSL_S2</v>
          </cell>
          <cell r="H689">
            <v>2.2655285469174568E-2</v>
          </cell>
          <cell r="I689">
            <v>1.3654863435908529E-2</v>
          </cell>
          <cell r="J689">
            <v>2.1790836893564435E-3</v>
          </cell>
        </row>
        <row r="690">
          <cell r="A690" t="str">
            <v>T-Plg-DSL-mix_S2</v>
          </cell>
          <cell r="B690" t="str">
            <v>VAR_fin</v>
          </cell>
          <cell r="C690" t="str">
            <v>TDSL</v>
          </cell>
          <cell r="H690">
            <v>3.8042603274257132E-2</v>
          </cell>
          <cell r="I690">
            <v>2.1709899661181999E-2</v>
          </cell>
          <cell r="J690">
            <v>3.3014880306719025E-3</v>
          </cell>
        </row>
        <row r="691">
          <cell r="A691" t="str">
            <v>T_B_u-BEVELC-S4</v>
          </cell>
          <cell r="B691" t="str">
            <v>VAR_fout</v>
          </cell>
          <cell r="C691" t="str">
            <v>TPBSu</v>
          </cell>
          <cell r="H691">
            <v>4.060228673504432E-5</v>
          </cell>
          <cell r="I691">
            <v>2.9002731515672385E-5</v>
          </cell>
          <cell r="J691">
            <v>3.1126515097044709E-5</v>
          </cell>
        </row>
        <row r="692">
          <cell r="A692" t="str">
            <v>T_B_u-BEVELC-S4</v>
          </cell>
          <cell r="B692" t="str">
            <v>VAR_fin</v>
          </cell>
          <cell r="C692" t="str">
            <v>T-ELC-Bus_u_BatSTGout_S4</v>
          </cell>
          <cell r="H692">
            <v>2.7038336201113528E-4</v>
          </cell>
          <cell r="I692">
            <v>1.850632099072678E-4</v>
          </cell>
          <cell r="J692">
            <v>1.8269267075684954E-4</v>
          </cell>
        </row>
        <row r="693">
          <cell r="A693" t="str">
            <v>T_B_u-BEVELC-S4</v>
          </cell>
          <cell r="B693" t="str">
            <v>VAR_ncap</v>
          </cell>
          <cell r="C693" t="str">
            <v>-</v>
          </cell>
          <cell r="H693">
            <v>8.6176275889901997E-7</v>
          </cell>
          <cell r="I693">
            <v>8.3316465526301096E-7</v>
          </cell>
          <cell r="J693">
            <v>3.4768341046156899E-7</v>
          </cell>
        </row>
        <row r="694">
          <cell r="A694" t="str">
            <v>T_B_u-BEVELC-S4</v>
          </cell>
          <cell r="B694" t="str">
            <v>VAR_cap</v>
          </cell>
          <cell r="C694" t="str">
            <v>-</v>
          </cell>
          <cell r="H694">
            <v>9.9821535135374608E-7</v>
          </cell>
          <cell r="I694">
            <v>1.0839835296867209E-6</v>
          </cell>
          <cell r="J694">
            <v>4.869765675812361E-7</v>
          </cell>
        </row>
        <row r="695">
          <cell r="A695" t="str">
            <v>D-TBDS1</v>
          </cell>
          <cell r="B695" t="str">
            <v>VAR_fout</v>
          </cell>
          <cell r="C695" t="str">
            <v>TDSL</v>
          </cell>
          <cell r="H695">
            <v>2.9733334868857368</v>
          </cell>
          <cell r="I695">
            <v>2.9737960759797422</v>
          </cell>
          <cell r="J695">
            <v>1.622199892488235</v>
          </cell>
        </row>
        <row r="696">
          <cell r="A696" t="str">
            <v>D-TBDS1</v>
          </cell>
          <cell r="B696" t="str">
            <v>VAR_fout</v>
          </cell>
          <cell r="C696" t="str">
            <v>TKER</v>
          </cell>
          <cell r="H696">
            <v>3.9723646996192097E-3</v>
          </cell>
          <cell r="I696">
            <v>2.9468270854858601E-3</v>
          </cell>
          <cell r="J696">
            <v>1.6907816044828201</v>
          </cell>
        </row>
        <row r="697">
          <cell r="A697" t="str">
            <v>D-TBDS1</v>
          </cell>
          <cell r="B697" t="str">
            <v>VAR_fin</v>
          </cell>
          <cell r="C697" t="str">
            <v>BDS</v>
          </cell>
          <cell r="H697">
            <v>3.0217133118035813</v>
          </cell>
          <cell r="I697">
            <v>3.0211356857897145</v>
          </cell>
          <cell r="J697">
            <v>3.3623898811383501</v>
          </cell>
        </row>
        <row r="698">
          <cell r="A698" t="str">
            <v>D-T-ELC-Bus_u_S3</v>
          </cell>
          <cell r="B698" t="str">
            <v>VAR_fout</v>
          </cell>
          <cell r="C698" t="str">
            <v>T-ELC-Bus_u_BatSTGin_S3</v>
          </cell>
          <cell r="H698">
            <v>0.53081376137379499</v>
          </cell>
          <cell r="I698">
            <v>0.93341622623831721</v>
          </cell>
          <cell r="J698">
            <v>0.92236796725276748</v>
          </cell>
        </row>
        <row r="699">
          <cell r="A699" t="str">
            <v>D-T-ELC-Bus_u_S3</v>
          </cell>
          <cell r="B699" t="str">
            <v>VAR_fin</v>
          </cell>
          <cell r="C699" t="str">
            <v>TELC</v>
          </cell>
          <cell r="H699">
            <v>0.53081376137379499</v>
          </cell>
          <cell r="I699">
            <v>0.93341622623831721</v>
          </cell>
          <cell r="J699">
            <v>0.92236796725276748</v>
          </cell>
        </row>
        <row r="700">
          <cell r="A700" t="str">
            <v>D-T-ELC-Bus_u_S3</v>
          </cell>
          <cell r="B700" t="str">
            <v>VAR_ncap</v>
          </cell>
          <cell r="C700" t="str">
            <v>-</v>
          </cell>
          <cell r="H700">
            <v>5.5909869179229098E-2</v>
          </cell>
          <cell r="I700">
            <v>4.2752853228352899E-2</v>
          </cell>
          <cell r="J700">
            <v>8.2849374459869299E-2</v>
          </cell>
        </row>
        <row r="701">
          <cell r="A701" t="str">
            <v>D-T-ELC-Bus_u_S3</v>
          </cell>
          <cell r="B701" t="str">
            <v>VAR_cap</v>
          </cell>
          <cell r="C701" t="str">
            <v>-</v>
          </cell>
          <cell r="H701">
            <v>5.6107225216243797E-2</v>
          </cell>
          <cell r="I701">
            <v>9.8662722407582004E-2</v>
          </cell>
          <cell r="J701">
            <v>9.74931350495227E-2</v>
          </cell>
        </row>
        <row r="702">
          <cell r="A702" t="str">
            <v>T-Plg-DSL-mix_S3</v>
          </cell>
          <cell r="B702" t="str">
            <v>VAR_fout</v>
          </cell>
          <cell r="C702" t="str">
            <v>CO2_T</v>
          </cell>
          <cell r="H702">
            <v>680.85756825474004</v>
          </cell>
          <cell r="I702">
            <v>281.41436935299083</v>
          </cell>
          <cell r="J702">
            <v>39.677839191225672</v>
          </cell>
        </row>
        <row r="703">
          <cell r="A703" t="str">
            <v>T-Plg-DSL-mix_S3</v>
          </cell>
          <cell r="B703" t="str">
            <v>VAR_fout</v>
          </cell>
          <cell r="C703" t="str">
            <v>T-PEVmix-ELC_DSL_S3</v>
          </cell>
          <cell r="H703">
            <v>5.1420344205008037</v>
          </cell>
          <cell r="I703">
            <v>2.2509514439713234</v>
          </cell>
          <cell r="J703">
            <v>0.33506995369736464</v>
          </cell>
        </row>
        <row r="704">
          <cell r="A704" t="str">
            <v>T-Plg-DSL-mix_S3</v>
          </cell>
          <cell r="B704" t="str">
            <v>VAR_fin</v>
          </cell>
          <cell r="C704" t="str">
            <v>TDSL</v>
          </cell>
          <cell r="H704">
            <v>9.2886434959719058</v>
          </cell>
          <cell r="I704">
            <v>3.8392137701635787</v>
          </cell>
          <cell r="J704">
            <v>0.54130749237688547</v>
          </cell>
        </row>
        <row r="705">
          <cell r="A705" t="str">
            <v>D-T-ELC-Bus_u_S4</v>
          </cell>
          <cell r="B705" t="str">
            <v>VAR_fout</v>
          </cell>
          <cell r="C705" t="str">
            <v>T-ELC-Bus_u_BatSTGin_S4</v>
          </cell>
          <cell r="H705">
            <v>6.448542452892641E-4</v>
          </cell>
          <cell r="I705">
            <v>6.5829817220799101E-4</v>
          </cell>
          <cell r="J705">
            <v>4.2770615524220454E-4</v>
          </cell>
        </row>
        <row r="706">
          <cell r="A706" t="str">
            <v>D-T-ELC-Bus_u_S4</v>
          </cell>
          <cell r="B706" t="str">
            <v>VAR_fin</v>
          </cell>
          <cell r="C706" t="str">
            <v>TELC</v>
          </cell>
          <cell r="H706">
            <v>6.448542452892641E-4</v>
          </cell>
          <cell r="I706">
            <v>6.5829817220799101E-4</v>
          </cell>
          <cell r="J706">
            <v>4.2770615524220454E-4</v>
          </cell>
        </row>
        <row r="707">
          <cell r="A707" t="str">
            <v>D-T-ELC-Bus_u_S4</v>
          </cell>
          <cell r="B707" t="str">
            <v>VAR_ncap</v>
          </cell>
          <cell r="C707" t="str">
            <v>-</v>
          </cell>
          <cell r="H707">
            <v>1.3318718486986599E-4</v>
          </cell>
          <cell r="I707">
            <v>1.56318061185195E-4</v>
          </cell>
          <cell r="J707">
            <v>5.8265456122824798E-5</v>
          </cell>
        </row>
        <row r="708">
          <cell r="A708" t="str">
            <v>D-T-ELC-Bus_u_S4</v>
          </cell>
          <cell r="B708" t="str">
            <v>VAR_cap</v>
          </cell>
          <cell r="C708" t="str">
            <v>-</v>
          </cell>
          <cell r="H708">
            <v>1.6451333721358299E-4</v>
          </cell>
          <cell r="I708">
            <v>2.4728308507290602E-4</v>
          </cell>
          <cell r="J708">
            <v>8.5697499512940399E-5</v>
          </cell>
        </row>
        <row r="709">
          <cell r="A709" t="str">
            <v>T_C-FC-H2O-S1</v>
          </cell>
          <cell r="B709" t="str">
            <v>VAR_fout</v>
          </cell>
          <cell r="C709" t="str">
            <v>TPCAR</v>
          </cell>
          <cell r="H709">
            <v>4.0818906968414625E-5</v>
          </cell>
          <cell r="I709">
            <v>4.0987687711697538E-5</v>
          </cell>
          <cell r="J709">
            <v>3.4260282712449738E-5</v>
          </cell>
        </row>
        <row r="710">
          <cell r="A710" t="str">
            <v>T_C-FC-H2O-S1</v>
          </cell>
          <cell r="B710" t="str">
            <v>VAR_fin</v>
          </cell>
          <cell r="C710" t="str">
            <v>TH2O</v>
          </cell>
          <cell r="H710">
            <v>3.6412900065057631E-5</v>
          </cell>
          <cell r="I710">
            <v>3.4415384801609083E-5</v>
          </cell>
          <cell r="J710">
            <v>2.6194569957205262E-5</v>
          </cell>
        </row>
        <row r="711">
          <cell r="A711" t="str">
            <v>T_C-FC-H2O-S1</v>
          </cell>
          <cell r="B711" t="str">
            <v>VAR_ncap</v>
          </cell>
          <cell r="C711" t="str">
            <v>-</v>
          </cell>
          <cell r="H711">
            <v>1.7637036298196099E-6</v>
          </cell>
          <cell r="I711">
            <v>2.9640721706823602E-6</v>
          </cell>
          <cell r="J711">
            <v>2.8247481930367299E-6</v>
          </cell>
        </row>
        <row r="712">
          <cell r="A712" t="str">
            <v>T_C-FC-H2O-S1</v>
          </cell>
          <cell r="B712" t="str">
            <v>VAR_cap</v>
          </cell>
          <cell r="C712" t="str">
            <v>-</v>
          </cell>
          <cell r="H712">
            <v>4.4914428181163696E-6</v>
          </cell>
          <cell r="I712">
            <v>5.043454144515626E-6</v>
          </cell>
          <cell r="J712">
            <v>4.343196645430135E-6</v>
          </cell>
        </row>
        <row r="713">
          <cell r="A713" t="str">
            <v>T_B_c-ICEDSL-S1</v>
          </cell>
          <cell r="B713" t="str">
            <v>VAR_fout</v>
          </cell>
          <cell r="C713" t="str">
            <v>CO2_T</v>
          </cell>
          <cell r="H713">
            <v>0.97639972688934196</v>
          </cell>
          <cell r="I713">
            <v>5.5639301394943761</v>
          </cell>
          <cell r="J713">
            <v>1.5407047720686131E-2</v>
          </cell>
        </row>
        <row r="714">
          <cell r="A714" t="str">
            <v>T_B_c-ICEDSL-S1</v>
          </cell>
          <cell r="B714" t="str">
            <v>VAR_fout</v>
          </cell>
          <cell r="C714" t="str">
            <v>TPBSc</v>
          </cell>
          <cell r="H714">
            <v>1.9243063334878328E-3</v>
          </cell>
          <cell r="I714">
            <v>1.2314487643729518E-2</v>
          </cell>
          <cell r="J714">
            <v>3.3305694262577793E-5</v>
          </cell>
        </row>
        <row r="715">
          <cell r="A715" t="str">
            <v>T_B_c-ICEDSL-S1</v>
          </cell>
          <cell r="B715" t="str">
            <v>VAR_fin</v>
          </cell>
          <cell r="C715" t="str">
            <v>TDSL</v>
          </cell>
          <cell r="H715">
            <v>1.3320596546921431E-2</v>
          </cell>
          <cell r="I715">
            <v>7.5906277482870099E-2</v>
          </cell>
          <cell r="J715">
            <v>2.1019164693978352E-4</v>
          </cell>
        </row>
        <row r="716">
          <cell r="A716" t="str">
            <v>T_B_c-ICEDSL-S1</v>
          </cell>
          <cell r="B716" t="str">
            <v>VAR_ncap</v>
          </cell>
          <cell r="C716" t="str">
            <v>-</v>
          </cell>
          <cell r="H716">
            <v>1.2561895230088899E-5</v>
          </cell>
          <cell r="I716">
            <v>2.5322148969096902E-4</v>
          </cell>
        </row>
        <row r="717">
          <cell r="A717" t="str">
            <v>T_B_c-ICEDSL-S1</v>
          </cell>
          <cell r="B717" t="str">
            <v>VAR_cap</v>
          </cell>
          <cell r="C717" t="str">
            <v>-</v>
          </cell>
          <cell r="H717">
            <v>4.530775530230901E-5</v>
          </cell>
          <cell r="I717">
            <v>2.6848573805218328E-4</v>
          </cell>
          <cell r="J717">
            <v>8.585350909789968E-7</v>
          </cell>
        </row>
        <row r="718">
          <cell r="A718" t="str">
            <v>T-Plg-DSL-mix_S4</v>
          </cell>
          <cell r="B718" t="str">
            <v>VAR_fout</v>
          </cell>
          <cell r="C718" t="str">
            <v>CO2_T</v>
          </cell>
          <cell r="H718">
            <v>3.1218843835056598</v>
          </cell>
          <cell r="I718">
            <v>1.0638771598663956</v>
          </cell>
          <cell r="J718">
            <v>0.1130007095329459</v>
          </cell>
        </row>
        <row r="719">
          <cell r="A719" t="str">
            <v>T-Plg-DSL-mix_S4</v>
          </cell>
          <cell r="B719" t="str">
            <v>VAR_fout</v>
          </cell>
          <cell r="C719" t="str">
            <v>T-PEVmix-ELC_DSL_S4</v>
          </cell>
          <cell r="H719">
            <v>2.2445133736261016E-2</v>
          </cell>
          <cell r="I719">
            <v>8.047321136066779E-3</v>
          </cell>
          <cell r="J719">
            <v>8.9075745684694813E-4</v>
          </cell>
        </row>
        <row r="720">
          <cell r="A720" t="str">
            <v>T-Plg-DSL-mix_S4</v>
          </cell>
          <cell r="B720" t="str">
            <v>VAR_fin</v>
          </cell>
          <cell r="C720" t="str">
            <v>TDSL</v>
          </cell>
          <cell r="H720">
            <v>4.2590510006898584E-2</v>
          </cell>
          <cell r="I720">
            <v>1.4514013095039503E-2</v>
          </cell>
          <cell r="J720">
            <v>1.5416195024958502E-3</v>
          </cell>
        </row>
        <row r="721">
          <cell r="A721" t="str">
            <v>T_C-FC-H2O-S2</v>
          </cell>
          <cell r="B721" t="str">
            <v>VAR_fout</v>
          </cell>
          <cell r="C721" t="str">
            <v>TPCAR</v>
          </cell>
          <cell r="H721">
            <v>5.7921438909647515E-5</v>
          </cell>
          <cell r="I721">
            <v>5.5009108466454895E-5</v>
          </cell>
          <cell r="J721">
            <v>5.3056077010985799E-5</v>
          </cell>
        </row>
        <row r="722">
          <cell r="A722" t="str">
            <v>T_C-FC-H2O-S2</v>
          </cell>
          <cell r="B722" t="str">
            <v>VAR_fin</v>
          </cell>
          <cell r="C722" t="str">
            <v>TH2O</v>
          </cell>
          <cell r="H722">
            <v>6.3519519758923739E-5</v>
          </cell>
          <cell r="I722">
            <v>5.6676816638723073E-5</v>
          </cell>
          <cell r="J722">
            <v>4.9354044695784707E-5</v>
          </cell>
        </row>
        <row r="723">
          <cell r="A723" t="str">
            <v>T_C-FC-H2O-S2</v>
          </cell>
          <cell r="B723" t="str">
            <v>VAR_ncap</v>
          </cell>
          <cell r="C723" t="str">
            <v>-</v>
          </cell>
          <cell r="H723">
            <v>1.59037448385578E-6</v>
          </cell>
          <cell r="I723">
            <v>2.4142476134949598E-6</v>
          </cell>
          <cell r="J723">
            <v>2.8034490771217501E-6</v>
          </cell>
        </row>
        <row r="724">
          <cell r="A724" t="str">
            <v>T_C-FC-H2O-S2</v>
          </cell>
          <cell r="B724" t="str">
            <v>VAR_cap</v>
          </cell>
          <cell r="C724" t="str">
            <v>-</v>
          </cell>
          <cell r="H724">
            <v>4.1344456300241992E-6</v>
          </cell>
          <cell r="I724">
            <v>4.1912530683518317E-6</v>
          </cell>
          <cell r="J724">
            <v>4.0105528699502704E-6</v>
          </cell>
        </row>
        <row r="725">
          <cell r="A725" t="str">
            <v>T_B_c-ICEDSL-S2</v>
          </cell>
          <cell r="B725" t="str">
            <v>VAR_fout</v>
          </cell>
          <cell r="C725" t="str">
            <v>CO2_T</v>
          </cell>
          <cell r="H725">
            <v>18.509253836749846</v>
          </cell>
          <cell r="I725">
            <v>3.0020233637947054</v>
          </cell>
          <cell r="J725">
            <v>1.9473345648954532E-2</v>
          </cell>
        </row>
        <row r="726">
          <cell r="A726" t="str">
            <v>T_B_c-ICEDSL-S2</v>
          </cell>
          <cell r="B726" t="str">
            <v>VAR_fout</v>
          </cell>
          <cell r="C726" t="str">
            <v>TPBSc</v>
          </cell>
          <cell r="H726">
            <v>2.5777012289495662E-2</v>
          </cell>
          <cell r="I726">
            <v>4.2235792921353019E-3</v>
          </cell>
          <cell r="J726">
            <v>2.9404999212596347E-5</v>
          </cell>
        </row>
        <row r="727">
          <cell r="A727" t="str">
            <v>T_B_c-ICEDSL-S2</v>
          </cell>
          <cell r="B727" t="str">
            <v>VAR_fin</v>
          </cell>
          <cell r="C727" t="str">
            <v>TDSL</v>
          </cell>
          <cell r="H727">
            <v>0.25251369490791098</v>
          </cell>
          <cell r="I727">
            <v>4.0955298278236109E-2</v>
          </cell>
          <cell r="J727">
            <v>2.6566637993116624E-4</v>
          </cell>
        </row>
        <row r="728">
          <cell r="A728" t="str">
            <v>T_B_c-ICEDSL-S2</v>
          </cell>
          <cell r="B728" t="str">
            <v>VAR_ncap</v>
          </cell>
          <cell r="C728" t="str">
            <v>-</v>
          </cell>
          <cell r="H728">
            <v>2.1844673149128502E-6</v>
          </cell>
          <cell r="I728">
            <v>1.05581657595245E-6</v>
          </cell>
        </row>
        <row r="729">
          <cell r="A729" t="str">
            <v>T_B_c-ICEDSL-S2</v>
          </cell>
          <cell r="B729" t="str">
            <v>VAR_cap</v>
          </cell>
          <cell r="C729" t="str">
            <v>-</v>
          </cell>
          <cell r="H729">
            <v>5.6065293177571022E-4</v>
          </cell>
          <cell r="I729">
            <v>9.1982743248438247E-5</v>
          </cell>
          <cell r="J729">
            <v>6.6410563908969003E-7</v>
          </cell>
        </row>
        <row r="730">
          <cell r="A730" t="str">
            <v>T_TW-FCLH2O-S1</v>
          </cell>
          <cell r="B730" t="str">
            <v>VAR_fout</v>
          </cell>
          <cell r="C730" t="str">
            <v>TPTWL</v>
          </cell>
          <cell r="H730">
            <v>1.1966395219103667E-3</v>
          </cell>
          <cell r="I730">
            <v>1.3461391155361985E-3</v>
          </cell>
          <cell r="J730">
            <v>1.0708080158775613E-3</v>
          </cell>
        </row>
        <row r="731">
          <cell r="A731" t="str">
            <v>T_TW-FCLH2O-S1</v>
          </cell>
          <cell r="B731" t="str">
            <v>VAR_fin</v>
          </cell>
          <cell r="C731" t="str">
            <v>TH2O</v>
          </cell>
          <cell r="H731">
            <v>2.5545831680987393E-4</v>
          </cell>
          <cell r="I731">
            <v>2.8394298048238259E-4</v>
          </cell>
          <cell r="J731">
            <v>2.1996713253133059E-4</v>
          </cell>
        </row>
        <row r="732">
          <cell r="A732" t="str">
            <v>T_TW-FCLH2O-S1</v>
          </cell>
          <cell r="B732" t="str">
            <v>VAR_ncap</v>
          </cell>
          <cell r="C732" t="str">
            <v>-</v>
          </cell>
          <cell r="H732">
            <v>2.77119457560019E-4</v>
          </cell>
          <cell r="I732">
            <v>2.3316011938655099E-4</v>
          </cell>
          <cell r="J732">
            <v>2.5887322508804999E-4</v>
          </cell>
        </row>
        <row r="733">
          <cell r="A733" t="str">
            <v>T_TW-FCLH2O-S1</v>
          </cell>
          <cell r="B733" t="str">
            <v>VAR_cap</v>
          </cell>
          <cell r="C733" t="str">
            <v>-</v>
          </cell>
          <cell r="H733">
            <v>4.5520966116801057E-4</v>
          </cell>
          <cell r="I733">
            <v>5.4159893000908918E-4</v>
          </cell>
          <cell r="J733">
            <v>4.2429697740992958E-4</v>
          </cell>
        </row>
        <row r="734">
          <cell r="A734" t="str">
            <v>D-T-ELC-TW_Bat_S1</v>
          </cell>
          <cell r="B734" t="str">
            <v>VAR_fout</v>
          </cell>
          <cell r="C734" t="str">
            <v>T-ELC-TWSTGin_S1</v>
          </cell>
          <cell r="H734">
            <v>0.10866959434928525</v>
          </cell>
          <cell r="I734">
            <v>0.17124938502558959</v>
          </cell>
          <cell r="J734">
            <v>0.17912285872697473</v>
          </cell>
        </row>
        <row r="735">
          <cell r="A735" t="str">
            <v>D-T-ELC-TW_Bat_S1</v>
          </cell>
          <cell r="B735" t="str">
            <v>VAR_fin</v>
          </cell>
          <cell r="C735" t="str">
            <v>TELC</v>
          </cell>
          <cell r="H735">
            <v>0.10866959434928525</v>
          </cell>
          <cell r="I735">
            <v>0.17124938502558959</v>
          </cell>
          <cell r="J735">
            <v>0.17912285872697473</v>
          </cell>
        </row>
        <row r="736">
          <cell r="A736" t="str">
            <v>D-T-ELC-TW_Bat_S1</v>
          </cell>
          <cell r="B736" t="str">
            <v>VAR_ncap</v>
          </cell>
          <cell r="C736" t="str">
            <v>-</v>
          </cell>
          <cell r="H736">
            <v>1.12522101085851E-2</v>
          </cell>
          <cell r="I736">
            <v>6.8113689230963398E-3</v>
          </cell>
          <cell r="J736">
            <v>1.35446029978378E-2</v>
          </cell>
        </row>
        <row r="737">
          <cell r="A737" t="str">
            <v>D-T-ELC-TW_Bat_S1</v>
          </cell>
          <cell r="B737" t="str">
            <v>VAR_cap</v>
          </cell>
          <cell r="C737" t="str">
            <v>-</v>
          </cell>
          <cell r="H737">
            <v>1.1489989445744199E-2</v>
          </cell>
          <cell r="I737">
            <v>1.8103955958507102E-2</v>
          </cell>
          <cell r="J737">
            <v>1.89351755523334E-2</v>
          </cell>
        </row>
        <row r="738">
          <cell r="A738" t="str">
            <v>T_C-FC-H2O-S3</v>
          </cell>
          <cell r="B738" t="str">
            <v>VAR_fout</v>
          </cell>
          <cell r="C738" t="str">
            <v>TPCAR</v>
          </cell>
          <cell r="H738">
            <v>8.0041223951083808E-5</v>
          </cell>
          <cell r="I738">
            <v>5.8101317057166462E-5</v>
          </cell>
          <cell r="J738">
            <v>5.9983794304857841E-5</v>
          </cell>
        </row>
        <row r="739">
          <cell r="A739" t="str">
            <v>T_C-FC-H2O-S3</v>
          </cell>
          <cell r="B739" t="str">
            <v>VAR_fin</v>
          </cell>
          <cell r="C739" t="str">
            <v>TH2O</v>
          </cell>
          <cell r="H739">
            <v>9.4848408235578206E-5</v>
          </cell>
          <cell r="I739">
            <v>6.440432541013207E-5</v>
          </cell>
          <cell r="J739">
            <v>5.960702959697104E-5</v>
          </cell>
        </row>
        <row r="740">
          <cell r="A740" t="str">
            <v>T_C-FC-H2O-S3</v>
          </cell>
          <cell r="B740" t="str">
            <v>VAR_ncap</v>
          </cell>
          <cell r="C740" t="str">
            <v>-</v>
          </cell>
          <cell r="H740">
            <v>1.3280559244136799E-6</v>
          </cell>
          <cell r="I740">
            <v>2.0319365386083701E-6</v>
          </cell>
          <cell r="J740">
            <v>2.7617022898787398E-6</v>
          </cell>
        </row>
        <row r="741">
          <cell r="A741" t="str">
            <v>T_C-FC-H2O-S3</v>
          </cell>
          <cell r="B741" t="str">
            <v>VAR_cap</v>
          </cell>
          <cell r="C741" t="str">
            <v>-</v>
          </cell>
          <cell r="H741">
            <v>4.5597262799605073E-6</v>
          </cell>
          <cell r="I741">
            <v>3.496316473484512E-6</v>
          </cell>
          <cell r="J741">
            <v>3.71610442050451E-6</v>
          </cell>
        </row>
        <row r="742">
          <cell r="A742" t="str">
            <v>T_B_c-ICEDSL-S3</v>
          </cell>
          <cell r="B742" t="str">
            <v>VAR_fout</v>
          </cell>
          <cell r="C742" t="str">
            <v>CO2_T</v>
          </cell>
          <cell r="H742">
            <v>6.1717373281599421</v>
          </cell>
          <cell r="I742">
            <v>9.0429278515456707E-2</v>
          </cell>
          <cell r="J742">
            <v>9.1035167770330307E-3</v>
          </cell>
        </row>
        <row r="743">
          <cell r="A743" t="str">
            <v>T_B_c-ICEDSL-S3</v>
          </cell>
          <cell r="B743" t="str">
            <v>VAR_fout</v>
          </cell>
          <cell r="C743" t="str">
            <v>TPBSc</v>
          </cell>
          <cell r="H743">
            <v>5.7432871828643015E-3</v>
          </cell>
          <cell r="I743">
            <v>8.974726069941741E-5</v>
          </cell>
          <cell r="J743">
            <v>9.3358287568772146E-6</v>
          </cell>
        </row>
        <row r="744">
          <cell r="A744" t="str">
            <v>T_B_c-ICEDSL-S3</v>
          </cell>
          <cell r="B744" t="str">
            <v>VAR_fin</v>
          </cell>
          <cell r="C744" t="str">
            <v>TDSL</v>
          </cell>
          <cell r="H744">
            <v>8.4198326441472668E-2</v>
          </cell>
          <cell r="I744">
            <v>1.2336872921617553E-3</v>
          </cell>
          <cell r="J744">
            <v>1.2419531755843152E-4</v>
          </cell>
        </row>
        <row r="745">
          <cell r="A745" t="str">
            <v>T_B_c-ICEDSL-S3</v>
          </cell>
          <cell r="B745" t="str">
            <v>VAR_ncap</v>
          </cell>
          <cell r="C745" t="str">
            <v>-</v>
          </cell>
          <cell r="H745">
            <v>1.3976598811419901E-6</v>
          </cell>
          <cell r="I745">
            <v>6.3489465967687499E-7</v>
          </cell>
        </row>
        <row r="746">
          <cell r="A746" t="str">
            <v>T_B_c-ICEDSL-S3</v>
          </cell>
          <cell r="B746" t="str">
            <v>VAR_cap</v>
          </cell>
          <cell r="C746" t="str">
            <v>-</v>
          </cell>
          <cell r="H746">
            <v>1.24943947426869E-4</v>
          </cell>
          <cell r="I746">
            <v>2.0078761052465144E-6</v>
          </cell>
          <cell r="J746">
            <v>2.1746491038384901E-7</v>
          </cell>
        </row>
        <row r="747">
          <cell r="A747" t="str">
            <v>T_TW-FCLH2O-S2</v>
          </cell>
          <cell r="B747" t="str">
            <v>VAR_fout</v>
          </cell>
          <cell r="C747" t="str">
            <v>TPTWL</v>
          </cell>
          <cell r="H747">
            <v>4.7586729985843088E-4</v>
          </cell>
          <cell r="I747">
            <v>5.7877000542797127E-4</v>
          </cell>
          <cell r="J747">
            <v>4.3644556568439656E-4</v>
          </cell>
        </row>
        <row r="748">
          <cell r="A748" t="str">
            <v>T_TW-FCLH2O-S2</v>
          </cell>
          <cell r="B748" t="str">
            <v>VAR_fin</v>
          </cell>
          <cell r="C748" t="str">
            <v>TH2O</v>
          </cell>
          <cell r="H748">
            <v>1.7468461923930134E-4</v>
          </cell>
          <cell r="I748">
            <v>2.105566556258194E-4</v>
          </cell>
          <cell r="J748">
            <v>1.5534099490470096E-4</v>
          </cell>
        </row>
        <row r="749">
          <cell r="A749" t="str">
            <v>T_TW-FCLH2O-S2</v>
          </cell>
          <cell r="B749" t="str">
            <v>VAR_ncap</v>
          </cell>
          <cell r="C749" t="str">
            <v>-</v>
          </cell>
          <cell r="H749">
            <v>1.04802856223599E-4</v>
          </cell>
          <cell r="I749">
            <v>8.3490292694821005E-5</v>
          </cell>
          <cell r="J749">
            <v>7.8366618335588896E-5</v>
          </cell>
        </row>
        <row r="750">
          <cell r="A750" t="str">
            <v>T_TW-FCLH2O-S2</v>
          </cell>
          <cell r="B750" t="str">
            <v>VAR_cap</v>
          </cell>
          <cell r="C750" t="str">
            <v>-</v>
          </cell>
          <cell r="H750">
            <v>1.8089862878874007E-4</v>
          </cell>
          <cell r="I750">
            <v>2.2758424938985368E-4</v>
          </cell>
          <cell r="J750">
            <v>1.6865263467806253E-4</v>
          </cell>
        </row>
        <row r="751">
          <cell r="A751" t="str">
            <v>D-T-ELC-TW_Bat_S2</v>
          </cell>
          <cell r="B751" t="str">
            <v>VAR_fout</v>
          </cell>
          <cell r="C751" t="str">
            <v>T-ELC-TWSTGin_S2</v>
          </cell>
          <cell r="H751">
            <v>9.3310706979481146E-3</v>
          </cell>
          <cell r="I751">
            <v>8.1446709733561939E-3</v>
          </cell>
          <cell r="J751">
            <v>5.2650273909304124E-3</v>
          </cell>
        </row>
        <row r="752">
          <cell r="A752" t="str">
            <v>D-T-ELC-TW_Bat_S2</v>
          </cell>
          <cell r="B752" t="str">
            <v>VAR_fin</v>
          </cell>
          <cell r="C752" t="str">
            <v>TELC</v>
          </cell>
          <cell r="H752">
            <v>9.3310706979481146E-3</v>
          </cell>
          <cell r="I752">
            <v>8.1446709733561939E-3</v>
          </cell>
          <cell r="J752">
            <v>5.2650273909304124E-3</v>
          </cell>
        </row>
        <row r="753">
          <cell r="A753" t="str">
            <v>D-T-ELC-TW_Bat_S2</v>
          </cell>
          <cell r="B753" t="str">
            <v>VAR_ncap</v>
          </cell>
          <cell r="C753" t="str">
            <v>-</v>
          </cell>
          <cell r="H753">
            <v>7.2368253500548502E-4</v>
          </cell>
          <cell r="I753">
            <v>7.7266047039092201E-6</v>
          </cell>
          <cell r="J753">
            <v>3.0557368214075399E-4</v>
          </cell>
        </row>
        <row r="754">
          <cell r="A754" t="str">
            <v>D-T-ELC-TW_Bat_S2</v>
          </cell>
          <cell r="B754" t="str">
            <v>VAR_cap</v>
          </cell>
          <cell r="C754" t="str">
            <v>-</v>
          </cell>
          <cell r="H754">
            <v>9.8890736098451704E-4</v>
          </cell>
          <cell r="I754">
            <v>8.6469396053121103E-4</v>
          </cell>
          <cell r="J754">
            <v>5.5849447474070203E-4</v>
          </cell>
        </row>
        <row r="755">
          <cell r="A755" t="str">
            <v>T_C-FC-H2O-S4</v>
          </cell>
          <cell r="B755" t="str">
            <v>VAR_fout</v>
          </cell>
          <cell r="C755" t="str">
            <v>TPCAR</v>
          </cell>
          <cell r="H755">
            <v>5.6776008480339735E-5</v>
          </cell>
          <cell r="I755">
            <v>5.5311988463969875E-5</v>
          </cell>
          <cell r="J755">
            <v>6.1467463714946934E-5</v>
          </cell>
        </row>
        <row r="756">
          <cell r="A756" t="str">
            <v>T_C-FC-H2O-S4</v>
          </cell>
          <cell r="B756" t="str">
            <v>VAR_fin</v>
          </cell>
          <cell r="C756" t="str">
            <v>TH2O</v>
          </cell>
          <cell r="H756">
            <v>6.6417965705866603E-5</v>
          </cell>
          <cell r="I756">
            <v>6.0895949669069876E-5</v>
          </cell>
          <cell r="J756">
            <v>6.1102234826195082E-5</v>
          </cell>
        </row>
        <row r="757">
          <cell r="A757" t="str">
            <v>T_C-FC-H2O-S4</v>
          </cell>
          <cell r="B757" t="str">
            <v>VAR_ncap</v>
          </cell>
          <cell r="C757" t="str">
            <v>-</v>
          </cell>
          <cell r="H757">
            <v>1.61065675143414E-6</v>
          </cell>
          <cell r="I757">
            <v>2.6112659689175498E-6</v>
          </cell>
          <cell r="J757">
            <v>3.6476731590025601E-6</v>
          </cell>
        </row>
        <row r="758">
          <cell r="A758" t="str">
            <v>T_C-FC-H2O-S4</v>
          </cell>
          <cell r="B758" t="str">
            <v>VAR_cap</v>
          </cell>
          <cell r="C758" t="str">
            <v>-</v>
          </cell>
          <cell r="H758">
            <v>4.2338339751780515E-6</v>
          </cell>
          <cell r="I758">
            <v>4.3984475185202941E-6</v>
          </cell>
          <cell r="J758">
            <v>4.8357660833528699E-6</v>
          </cell>
        </row>
        <row r="759">
          <cell r="A759" t="str">
            <v>T_B_c-ICEDSL-S4</v>
          </cell>
          <cell r="B759" t="str">
            <v>VAR_fout</v>
          </cell>
          <cell r="C759" t="str">
            <v>CO2_T</v>
          </cell>
          <cell r="H759">
            <v>6.9041255795888297E-3</v>
          </cell>
          <cell r="I759">
            <v>7.10798230280858E-3</v>
          </cell>
          <cell r="J759">
            <v>5.0457749069167499E-4</v>
          </cell>
        </row>
        <row r="760">
          <cell r="A760" t="str">
            <v>T_B_c-ICEDSL-S4</v>
          </cell>
          <cell r="B760" t="str">
            <v>VAR_fout</v>
          </cell>
          <cell r="C760" t="str">
            <v>TPBSc</v>
          </cell>
          <cell r="H760">
            <v>4.4626442876915927E-6</v>
          </cell>
          <cell r="I760">
            <v>4.7443309791185155E-6</v>
          </cell>
          <cell r="J760">
            <v>3.4608754788681596E-7</v>
          </cell>
        </row>
        <row r="761">
          <cell r="A761" t="str">
            <v>T_B_c-ICEDSL-S4</v>
          </cell>
          <cell r="B761" t="str">
            <v>VAR_fin</v>
          </cell>
          <cell r="C761" t="str">
            <v>TDSL</v>
          </cell>
          <cell r="H761">
            <v>9.4189980621948568E-5</v>
          </cell>
          <cell r="I761">
            <v>9.6971109178834732E-5</v>
          </cell>
          <cell r="J761">
            <v>6.8837311144839623E-6</v>
          </cell>
        </row>
        <row r="762">
          <cell r="A762" t="str">
            <v>T_B_c-ICEDSL-S4</v>
          </cell>
          <cell r="B762" t="str">
            <v>VAR_ncap</v>
          </cell>
          <cell r="C762" t="str">
            <v>-</v>
          </cell>
          <cell r="H762">
            <v>6.9564255385135504E-8</v>
          </cell>
          <cell r="I762">
            <v>4.1812180603889601E-8</v>
          </cell>
        </row>
        <row r="763">
          <cell r="A763" t="str">
            <v>T_B_c-ICEDSL-S4</v>
          </cell>
          <cell r="B763" t="str">
            <v>VAR_cap</v>
          </cell>
          <cell r="C763" t="str">
            <v>-</v>
          </cell>
          <cell r="H763">
            <v>8.3217052853640797E-8</v>
          </cell>
          <cell r="I763">
            <v>8.9323614673334894E-8</v>
          </cell>
          <cell r="J763">
            <v>7.3375625558864203E-9</v>
          </cell>
        </row>
        <row r="764">
          <cell r="A764" t="str">
            <v>D-T-ELC-HGV</v>
          </cell>
          <cell r="B764" t="str">
            <v>VAR_fout</v>
          </cell>
          <cell r="C764" t="str">
            <v>T-ELC-HGV_BatSTGin</v>
          </cell>
          <cell r="H764">
            <v>3.7586222164156728</v>
          </cell>
          <cell r="I764">
            <v>4.8351127299543508</v>
          </cell>
          <cell r="J764">
            <v>8.2687495731391127</v>
          </cell>
        </row>
        <row r="765">
          <cell r="A765" t="str">
            <v>D-T-ELC-HGV</v>
          </cell>
          <cell r="B765" t="str">
            <v>VAR_fin</v>
          </cell>
          <cell r="C765" t="str">
            <v>TELC</v>
          </cell>
          <cell r="H765">
            <v>3.7586222164156728</v>
          </cell>
          <cell r="I765">
            <v>4.8351127299543508</v>
          </cell>
          <cell r="J765">
            <v>8.2687495731391127</v>
          </cell>
        </row>
        <row r="766">
          <cell r="A766" t="str">
            <v>D-T-ELC-HGV</v>
          </cell>
          <cell r="B766" t="str">
            <v>VAR_ncap</v>
          </cell>
          <cell r="C766" t="str">
            <v>-</v>
          </cell>
          <cell r="H766">
            <v>0.31623497146833102</v>
          </cell>
          <cell r="I766">
            <v>0.38749582796613302</v>
          </cell>
          <cell r="J766">
            <v>0.97290768764234004</v>
          </cell>
        </row>
        <row r="767">
          <cell r="A767" t="str">
            <v>D-T-ELC-HGV</v>
          </cell>
          <cell r="B767" t="str">
            <v>VAR_cap</v>
          </cell>
          <cell r="C767" t="str">
            <v>-</v>
          </cell>
          <cell r="H767">
            <v>0.47212764003561902</v>
          </cell>
          <cell r="I767">
            <v>0.60347998411338599</v>
          </cell>
          <cell r="J767">
            <v>1.0409088020731401</v>
          </cell>
        </row>
        <row r="768">
          <cell r="A768" t="str">
            <v>T_TW-FCLH2O-S3</v>
          </cell>
          <cell r="B768" t="str">
            <v>VAR_fout</v>
          </cell>
          <cell r="C768" t="str">
            <v>TPTWL</v>
          </cell>
          <cell r="H768">
            <v>2.1812812237471534E-4</v>
          </cell>
          <cell r="I768">
            <v>3.02131706677608E-4</v>
          </cell>
          <cell r="J768">
            <v>3.0637674986471787E-4</v>
          </cell>
        </row>
        <row r="769">
          <cell r="A769" t="str">
            <v>T_TW-FCLH2O-S3</v>
          </cell>
          <cell r="B769" t="str">
            <v>VAR_fin</v>
          </cell>
          <cell r="C769" t="str">
            <v>TH2O</v>
          </cell>
          <cell r="H769">
            <v>1.2285851597840727E-4</v>
          </cell>
          <cell r="I769">
            <v>1.6898431060807871E-4</v>
          </cell>
          <cell r="J769">
            <v>1.6815075765458224E-4</v>
          </cell>
        </row>
        <row r="770">
          <cell r="A770" t="str">
            <v>T_TW-FCLH2O-S3</v>
          </cell>
          <cell r="B770" t="str">
            <v>VAR_ncap</v>
          </cell>
          <cell r="C770" t="str">
            <v>-</v>
          </cell>
          <cell r="H770">
            <v>4.23826247507552E-5</v>
          </cell>
          <cell r="I770">
            <v>3.43928217229254E-5</v>
          </cell>
          <cell r="J770">
            <v>3.7562861164307498E-5</v>
          </cell>
        </row>
        <row r="771">
          <cell r="A771" t="str">
            <v>T_TW-FCLH2O-S3</v>
          </cell>
          <cell r="B771" t="str">
            <v>VAR_cap</v>
          </cell>
          <cell r="C771" t="str">
            <v>-</v>
          </cell>
          <cell r="H771">
            <v>8.0678875218003976E-5</v>
          </cell>
          <cell r="I771">
            <v>1.1497000356385949E-4</v>
          </cell>
          <cell r="J771">
            <v>1.1557311038589514E-4</v>
          </cell>
        </row>
        <row r="772">
          <cell r="A772" t="str">
            <v>D-T-ELC-TW_Bat_S3</v>
          </cell>
          <cell r="B772" t="str">
            <v>VAR_fout</v>
          </cell>
          <cell r="C772" t="str">
            <v>T-ELC-TWSTGin_S3</v>
          </cell>
          <cell r="H772">
            <v>1.3718019679038991E-2</v>
          </cell>
          <cell r="I772">
            <v>1.2913706960056415E-2</v>
          </cell>
          <cell r="J772">
            <v>8.4591196131245175E-3</v>
          </cell>
        </row>
        <row r="773">
          <cell r="A773" t="str">
            <v>D-T-ELC-TW_Bat_S3</v>
          </cell>
          <cell r="B773" t="str">
            <v>VAR_fin</v>
          </cell>
          <cell r="C773" t="str">
            <v>TELC</v>
          </cell>
          <cell r="H773">
            <v>1.3718019679038991E-2</v>
          </cell>
          <cell r="I773">
            <v>1.2913706960056415E-2</v>
          </cell>
          <cell r="J773">
            <v>8.4591196131245175E-3</v>
          </cell>
        </row>
        <row r="774">
          <cell r="A774" t="str">
            <v>D-T-ELC-TW_Bat_S3</v>
          </cell>
          <cell r="B774" t="str">
            <v>VAR_ncap</v>
          </cell>
          <cell r="C774" t="str">
            <v>-</v>
          </cell>
          <cell r="H774">
            <v>9.0751959728054997E-4</v>
          </cell>
          <cell r="I774">
            <v>8.42642702071161E-5</v>
          </cell>
          <cell r="J774">
            <v>1.8511726591565902E-5</v>
          </cell>
        </row>
        <row r="775">
          <cell r="A775" t="str">
            <v>D-T-ELC-TW_Bat_S3</v>
          </cell>
          <cell r="B775" t="str">
            <v>VAR_cap</v>
          </cell>
          <cell r="C775" t="str">
            <v>-</v>
          </cell>
          <cell r="H775">
            <v>1.45359585824613E-3</v>
          </cell>
          <cell r="I775">
            <v>1.36708668774451E-3</v>
          </cell>
          <cell r="J775">
            <v>8.9704109846853899E-4</v>
          </cell>
        </row>
        <row r="776">
          <cell r="A776" t="str">
            <v>T_TW-FCLH2O-S4</v>
          </cell>
          <cell r="B776" t="str">
            <v>VAR_fout</v>
          </cell>
          <cell r="C776" t="str">
            <v>TPTWL</v>
          </cell>
          <cell r="H776">
            <v>1.0982362179526736E-4</v>
          </cell>
          <cell r="I776">
            <v>1.601250088727339E-4</v>
          </cell>
          <cell r="J776">
            <v>1.9895110100715956E-4</v>
          </cell>
        </row>
        <row r="777">
          <cell r="A777" t="str">
            <v>T_TW-FCLH2O-S4</v>
          </cell>
          <cell r="B777" t="str">
            <v>VAR_fin</v>
          </cell>
          <cell r="C777" t="str">
            <v>TH2O</v>
          </cell>
          <cell r="H777">
            <v>6.9612578694693114E-5</v>
          </cell>
          <cell r="I777">
            <v>1.0062684967748883E-4</v>
          </cell>
          <cell r="J777">
            <v>1.2307314987993327E-4</v>
          </cell>
        </row>
        <row r="778">
          <cell r="A778" t="str">
            <v>T_TW-FCLH2O-S4</v>
          </cell>
          <cell r="B778" t="str">
            <v>VAR_ncap</v>
          </cell>
          <cell r="C778" t="str">
            <v>-</v>
          </cell>
          <cell r="H778">
            <v>2.12831952251941E-5</v>
          </cell>
          <cell r="I778">
            <v>1.8966406426396499E-5</v>
          </cell>
          <cell r="J778">
            <v>1.9460323084647499E-5</v>
          </cell>
        </row>
        <row r="779">
          <cell r="A779" t="str">
            <v>T_TW-FCLH2O-S4</v>
          </cell>
          <cell r="B779" t="str">
            <v>VAR_cap</v>
          </cell>
          <cell r="C779" t="str">
            <v>-</v>
          </cell>
          <cell r="H779">
            <v>3.8654508334546826E-5</v>
          </cell>
          <cell r="I779">
            <v>5.7561601505091429E-5</v>
          </cell>
          <cell r="J779">
            <v>7.0980142056850388E-5</v>
          </cell>
        </row>
        <row r="780">
          <cell r="A780" t="str">
            <v>D-T-ELC-TW_Bat_S4</v>
          </cell>
          <cell r="B780" t="str">
            <v>VAR_fout</v>
          </cell>
          <cell r="C780" t="str">
            <v>T-ELC-TWSTGin_S4</v>
          </cell>
          <cell r="H780">
            <v>1.387850359213561E-2</v>
          </cell>
          <cell r="I780">
            <v>1.5344586591747696E-2</v>
          </cell>
          <cell r="J780">
            <v>1.2523432007745295E-2</v>
          </cell>
        </row>
        <row r="781">
          <cell r="A781" t="str">
            <v>D-T-ELC-TW_Bat_S4</v>
          </cell>
          <cell r="B781" t="str">
            <v>VAR_fin</v>
          </cell>
          <cell r="C781" t="str">
            <v>TELC</v>
          </cell>
          <cell r="H781">
            <v>1.387850359213561E-2</v>
          </cell>
          <cell r="I781">
            <v>1.5344586591747696E-2</v>
          </cell>
          <cell r="J781">
            <v>1.2523432007745295E-2</v>
          </cell>
        </row>
        <row r="782">
          <cell r="A782" t="str">
            <v>D-T-ELC-TW_Bat_S4</v>
          </cell>
          <cell r="B782" t="str">
            <v>VAR_ncap</v>
          </cell>
          <cell r="C782" t="str">
            <v>-</v>
          </cell>
          <cell r="H782">
            <v>9.1956972703728602E-4</v>
          </cell>
          <cell r="I782">
            <v>1.5510951507515699E-4</v>
          </cell>
          <cell r="J782">
            <v>6.3410612620503999E-5</v>
          </cell>
        </row>
        <row r="783">
          <cell r="A783" t="str">
            <v>D-T-ELC-TW_Bat_S4</v>
          </cell>
          <cell r="B783" t="str">
            <v>VAR_cap</v>
          </cell>
          <cell r="C783" t="str">
            <v>-</v>
          </cell>
          <cell r="H783">
            <v>1.46949472002949E-3</v>
          </cell>
          <cell r="I783">
            <v>1.6246042351046399E-3</v>
          </cell>
          <cell r="J783">
            <v>1.3260080121899999E-3</v>
          </cell>
        </row>
        <row r="784">
          <cell r="A784" t="str">
            <v>T_B_u-ICENGA-S1</v>
          </cell>
          <cell r="B784" t="str">
            <v>VAR_fout</v>
          </cell>
          <cell r="C784" t="str">
            <v>CO2_T</v>
          </cell>
          <cell r="H784">
            <v>0.20232882142464903</v>
          </cell>
          <cell r="I784">
            <v>2.7423473261367362E-2</v>
          </cell>
          <cell r="J784">
            <v>1.016234457447629E-2</v>
          </cell>
        </row>
        <row r="785">
          <cell r="A785" t="str">
            <v>T_B_u-ICENGA-S1</v>
          </cell>
          <cell r="B785" t="str">
            <v>VAR_fout</v>
          </cell>
          <cell r="C785" t="str">
            <v>TPBSu</v>
          </cell>
          <cell r="H785">
            <v>5.1606829262808112E-4</v>
          </cell>
          <cell r="I785">
            <v>7.1987633197888112E-5</v>
          </cell>
          <cell r="J785">
            <v>2.7148526801039658E-5</v>
          </cell>
        </row>
        <row r="786">
          <cell r="A786" t="str">
            <v>T_B_u-ICENGA-S1</v>
          </cell>
          <cell r="B786" t="str">
            <v>VAR_fin</v>
          </cell>
          <cell r="C786" t="str">
            <v>TNGA</v>
          </cell>
          <cell r="H786">
            <v>3.5873904507916546E-3</v>
          </cell>
          <cell r="I786">
            <v>4.8623179541431422E-4</v>
          </cell>
          <cell r="J786">
            <v>1.8018341444106891E-4</v>
          </cell>
        </row>
        <row r="787">
          <cell r="A787" t="str">
            <v>T_B_u-ICENGA-S1</v>
          </cell>
          <cell r="B787" t="str">
            <v>VAR_ncap</v>
          </cell>
          <cell r="C787" t="str">
            <v>-</v>
          </cell>
          <cell r="H787">
            <v>9.2145845210403703E-6</v>
          </cell>
          <cell r="I787">
            <v>8.0807213506300398E-7</v>
          </cell>
        </row>
        <row r="788">
          <cell r="A788" t="str">
            <v>T_B_u-ICENGA-S1</v>
          </cell>
          <cell r="B788" t="str">
            <v>VAR_cap</v>
          </cell>
          <cell r="C788" t="str">
            <v>-</v>
          </cell>
          <cell r="H788">
            <v>1.050230512588317E-5</v>
          </cell>
          <cell r="I788">
            <v>1.6709414746087489E-6</v>
          </cell>
          <cell r="J788">
            <v>5.5581823910342E-7</v>
          </cell>
        </row>
        <row r="789">
          <cell r="A789" t="str">
            <v>T_B_u-ICENGA-S2</v>
          </cell>
          <cell r="B789" t="str">
            <v>VAR_fout</v>
          </cell>
          <cell r="C789" t="str">
            <v>CO2_T</v>
          </cell>
          <cell r="H789">
            <v>8.0260947273380401E-2</v>
          </cell>
          <cell r="I789">
            <v>2.1821245917648939E-2</v>
          </cell>
          <cell r="J789">
            <v>8.2237261366297498E-3</v>
          </cell>
        </row>
        <row r="790">
          <cell r="A790" t="str">
            <v>T_B_u-ICENGA-S2</v>
          </cell>
          <cell r="B790" t="str">
            <v>VAR_fout</v>
          </cell>
          <cell r="C790" t="str">
            <v>TPBSu</v>
          </cell>
          <cell r="H790">
            <v>1.354172388815214E-4</v>
          </cell>
          <cell r="I790">
            <v>3.9858490608740567E-5</v>
          </cell>
          <cell r="J790">
            <v>1.5302801207506709E-5</v>
          </cell>
        </row>
        <row r="791">
          <cell r="A791" t="str">
            <v>T_B_u-ICENGA-S2</v>
          </cell>
          <cell r="B791" t="str">
            <v>VAR_fin</v>
          </cell>
          <cell r="C791" t="str">
            <v>TNGA</v>
          </cell>
          <cell r="H791">
            <v>1.4230664410173819E-3</v>
          </cell>
          <cell r="I791">
            <v>3.8690152336257001E-4</v>
          </cell>
          <cell r="J791">
            <v>1.458107471033643E-4</v>
          </cell>
        </row>
        <row r="792">
          <cell r="A792" t="str">
            <v>T_B_u-ICENGA-S2</v>
          </cell>
          <cell r="B792" t="str">
            <v>VAR_ncap</v>
          </cell>
          <cell r="C792" t="str">
            <v>-</v>
          </cell>
          <cell r="H792">
            <v>8.32161414386813E-7</v>
          </cell>
          <cell r="I792">
            <v>3.34153876352636E-7</v>
          </cell>
        </row>
        <row r="793">
          <cell r="A793" t="str">
            <v>T_B_u-ICENGA-S2</v>
          </cell>
          <cell r="B793" t="str">
            <v>VAR_cap</v>
          </cell>
          <cell r="C793" t="str">
            <v>-</v>
          </cell>
          <cell r="H793">
            <v>2.5478101144303339E-6</v>
          </cell>
          <cell r="I793">
            <v>7.6789594756537395E-7</v>
          </cell>
          <cell r="J793">
            <v>2.496303445439866E-7</v>
          </cell>
        </row>
        <row r="794">
          <cell r="A794" t="str">
            <v>T_B_c-ICEDSLEXT</v>
          </cell>
          <cell r="B794" t="str">
            <v>VAR_fout</v>
          </cell>
          <cell r="C794" t="str">
            <v>CO2_T</v>
          </cell>
        </row>
        <row r="795">
          <cell r="A795" t="str">
            <v>T_B_c-ICEDSLEXT</v>
          </cell>
          <cell r="B795" t="str">
            <v>VAR_fout</v>
          </cell>
          <cell r="C795" t="str">
            <v>TPBSc</v>
          </cell>
        </row>
        <row r="796">
          <cell r="A796" t="str">
            <v>T_B_c-ICEDSLEXT</v>
          </cell>
          <cell r="B796" t="str">
            <v>VAR_fin</v>
          </cell>
          <cell r="C796" t="str">
            <v>TDSL</v>
          </cell>
        </row>
        <row r="797">
          <cell r="A797" t="str">
            <v>T_B_c-ICEDSLEXT</v>
          </cell>
          <cell r="B797" t="str">
            <v>VAR_cap</v>
          </cell>
          <cell r="C797" t="str">
            <v>-</v>
          </cell>
        </row>
        <row r="798">
          <cell r="A798" t="str">
            <v>T_B_u-ICENGA-S3</v>
          </cell>
          <cell r="B798" t="str">
            <v>VAR_fout</v>
          </cell>
          <cell r="C798" t="str">
            <v>CO2_T</v>
          </cell>
          <cell r="H798">
            <v>0.1247046449104714</v>
          </cell>
          <cell r="I798">
            <v>2.2062015974961661E-2</v>
          </cell>
          <cell r="J798">
            <v>5.53708156297247E-3</v>
          </cell>
        </row>
        <row r="799">
          <cell r="A799" t="str">
            <v>T_B_u-ICENGA-S3</v>
          </cell>
          <cell r="B799" t="str">
            <v>VAR_fout</v>
          </cell>
          <cell r="C799" t="str">
            <v>TPBSu</v>
          </cell>
          <cell r="H799">
            <v>1.4358067436934409E-4</v>
          </cell>
          <cell r="I799">
            <v>2.7033261158342507E-5</v>
          </cell>
          <cell r="J799">
            <v>6.9663224681224863E-6</v>
          </cell>
        </row>
        <row r="800">
          <cell r="A800" t="str">
            <v>T_B_u-ICENGA-S3</v>
          </cell>
          <cell r="B800" t="str">
            <v>VAR_fin</v>
          </cell>
          <cell r="C800" t="str">
            <v>TNGA</v>
          </cell>
          <cell r="H800">
            <v>2.2110752643700608E-3</v>
          </cell>
          <cell r="I800">
            <v>3.91170496009959E-4</v>
          </cell>
          <cell r="J800">
            <v>9.8175205017242347E-5</v>
          </cell>
        </row>
        <row r="801">
          <cell r="A801" t="str">
            <v>T_B_u-ICENGA-S3</v>
          </cell>
          <cell r="B801" t="str">
            <v>VAR_ncap</v>
          </cell>
          <cell r="C801" t="str">
            <v>-</v>
          </cell>
          <cell r="H801">
            <v>5.1733961784959103E-7</v>
          </cell>
          <cell r="I801">
            <v>2.05021682538132E-7</v>
          </cell>
        </row>
        <row r="802">
          <cell r="A802" t="str">
            <v>T_B_u-ICENGA-S3</v>
          </cell>
          <cell r="B802" t="str">
            <v>VAR_cap</v>
          </cell>
          <cell r="C802" t="str">
            <v>-</v>
          </cell>
          <cell r="H802">
            <v>2.5914890002866999E-6</v>
          </cell>
          <cell r="I802">
            <v>4.1522660793650696E-7</v>
          </cell>
          <cell r="J802">
            <v>7.0224282312583703E-8</v>
          </cell>
        </row>
        <row r="803">
          <cell r="A803" t="str">
            <v>T_B_u-ICENGA-S4</v>
          </cell>
          <cell r="B803" t="str">
            <v>VAR_fout</v>
          </cell>
          <cell r="C803" t="str">
            <v>CO2_T</v>
          </cell>
          <cell r="H803">
            <v>5.5992769162331339E-3</v>
          </cell>
          <cell r="I803">
            <v>3.8816470938714399E-3</v>
          </cell>
          <cell r="J803">
            <v>2.46061209508801E-3</v>
          </cell>
        </row>
        <row r="804">
          <cell r="A804" t="str">
            <v>T_B_u-ICENGA-S4</v>
          </cell>
          <cell r="B804" t="str">
            <v>VAR_fout</v>
          </cell>
          <cell r="C804" t="str">
            <v>TPBSu</v>
          </cell>
          <cell r="H804">
            <v>4.4517992682303732E-6</v>
          </cell>
          <cell r="I804">
            <v>3.1579274621917608E-6</v>
          </cell>
          <cell r="J804">
            <v>2.0722879094120423E-6</v>
          </cell>
        </row>
        <row r="805">
          <cell r="A805" t="str">
            <v>T_B_u-ICENGA-S4</v>
          </cell>
          <cell r="B805" t="str">
            <v>VAR_fin</v>
          </cell>
          <cell r="C805" t="str">
            <v>TNGA</v>
          </cell>
          <cell r="H805">
            <v>9.9277959507679587E-5</v>
          </cell>
          <cell r="I805">
            <v>6.8823530033181667E-5</v>
          </cell>
          <cell r="J805">
            <v>4.362787402638313E-5</v>
          </cell>
        </row>
        <row r="806">
          <cell r="A806" t="str">
            <v>T_B_u-ICENGA-S4</v>
          </cell>
          <cell r="B806" t="str">
            <v>VAR_ncap</v>
          </cell>
          <cell r="C806" t="str">
            <v>-</v>
          </cell>
          <cell r="H806">
            <v>2.3937562042734501E-8</v>
          </cell>
          <cell r="I806">
            <v>2.18695935849976E-8</v>
          </cell>
        </row>
        <row r="807">
          <cell r="A807" t="str">
            <v>T_B_u-ICENGA-S4</v>
          </cell>
          <cell r="B807" t="str">
            <v>VAR_cap</v>
          </cell>
          <cell r="C807" t="str">
            <v>-</v>
          </cell>
          <cell r="H807">
            <v>2.6657157272044701E-8</v>
          </cell>
          <cell r="I807">
            <v>3.8218620746720898E-8</v>
          </cell>
          <cell r="J807">
            <v>-2.0844190265690506E-9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71.221525065576216</v>
          </cell>
          <cell r="G9">
            <v>95.643595350488638</v>
          </cell>
          <cell r="H9">
            <v>149.76933547480095</v>
          </cell>
        </row>
        <row r="28">
          <cell r="F28">
            <v>0</v>
          </cell>
          <cell r="G28">
            <v>7.7853712825206234</v>
          </cell>
          <cell r="H28">
            <v>49.726546349499358</v>
          </cell>
        </row>
      </sheetData>
      <sheetData sheetId="56"/>
      <sheetData sheetId="57"/>
      <sheetData sheetId="58">
        <row r="14">
          <cell r="F14">
            <v>55.379442723808893</v>
          </cell>
          <cell r="G14">
            <v>32.820806080527198</v>
          </cell>
          <cell r="H14">
            <v>0</v>
          </cell>
        </row>
        <row r="15">
          <cell r="F15">
            <v>72.614680964563476</v>
          </cell>
          <cell r="G15">
            <v>73.883720214170353</v>
          </cell>
          <cell r="H15">
            <v>74.836063035420736</v>
          </cell>
        </row>
        <row r="16">
          <cell r="F16">
            <v>63.871732700338775</v>
          </cell>
          <cell r="G16">
            <v>64.430908432464136</v>
          </cell>
          <cell r="H16">
            <v>67.134967183378762</v>
          </cell>
        </row>
        <row r="17">
          <cell r="F17">
            <v>12.933604980046068</v>
          </cell>
          <cell r="G17">
            <v>13.657269291986717</v>
          </cell>
          <cell r="H17">
            <v>14.043987928199225</v>
          </cell>
        </row>
        <row r="18">
          <cell r="F18">
            <v>3.5830271851683506E-3</v>
          </cell>
          <cell r="G18">
            <v>3.0826832540886313E-3</v>
          </cell>
          <cell r="H18">
            <v>7.2873955736442385E-5</v>
          </cell>
        </row>
        <row r="19">
          <cell r="F19">
            <v>7.4918644644938217</v>
          </cell>
          <cell r="G19">
            <v>5.9279510903550143</v>
          </cell>
          <cell r="H19">
            <v>3.2008978740503003E-3</v>
          </cell>
        </row>
        <row r="20">
          <cell r="F20">
            <v>0</v>
          </cell>
          <cell r="G20">
            <v>2.3652458816063859</v>
          </cell>
          <cell r="H20">
            <v>9.3307385272869361</v>
          </cell>
        </row>
        <row r="21">
          <cell r="F21">
            <v>0</v>
          </cell>
          <cell r="G21">
            <v>2.0638049552484564E-5</v>
          </cell>
          <cell r="H21">
            <v>4.0904548102999707E-3</v>
          </cell>
        </row>
        <row r="22">
          <cell r="F22">
            <v>0</v>
          </cell>
          <cell r="G22">
            <v>1.1537980141096874E-5</v>
          </cell>
          <cell r="H22">
            <v>2.6385242373117714E-2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0.8178260029448351</v>
          </cell>
          <cell r="G25">
            <v>1.2195960641719037</v>
          </cell>
          <cell r="H25">
            <v>1.3981231555184144</v>
          </cell>
        </row>
        <row r="26">
          <cell r="F26">
            <v>1.4336323602549716</v>
          </cell>
          <cell r="G26">
            <v>1.159752761359504</v>
          </cell>
          <cell r="H26">
            <v>0.19723193848061413</v>
          </cell>
        </row>
        <row r="27">
          <cell r="F27">
            <v>0</v>
          </cell>
          <cell r="G27">
            <v>0.39564412165669843</v>
          </cell>
          <cell r="H27">
            <v>1.4943431126091675</v>
          </cell>
        </row>
        <row r="28">
          <cell r="F28">
            <v>1.0661546124254549E-3</v>
          </cell>
          <cell r="G28">
            <v>4.6253299259988568E-4</v>
          </cell>
          <cell r="H28">
            <v>1.4295259579508429E-5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4.6438367291437238E-3</v>
          </cell>
          <cell r="H30">
            <v>0.24464044247110589</v>
          </cell>
        </row>
        <row r="31">
          <cell r="F31">
            <v>0</v>
          </cell>
          <cell r="G31">
            <v>1.3520602217809373E-3</v>
          </cell>
          <cell r="H31">
            <v>0.77397658287774418</v>
          </cell>
        </row>
        <row r="32">
          <cell r="F32">
            <v>0</v>
          </cell>
          <cell r="G32">
            <v>1.1677397642685474</v>
          </cell>
          <cell r="H32">
            <v>7.4589153396247143</v>
          </cell>
        </row>
        <row r="33">
          <cell r="F33">
            <v>3.6359136971127484</v>
          </cell>
          <cell r="G33">
            <v>7.1993686268488046</v>
          </cell>
          <cell r="H33">
            <v>28.866691214106275</v>
          </cell>
        </row>
        <row r="34">
          <cell r="F34">
            <v>2.1035432273841494</v>
          </cell>
          <cell r="G34">
            <v>17.943283841422485</v>
          </cell>
          <cell r="H34">
            <v>18.107481707106274</v>
          </cell>
        </row>
        <row r="35">
          <cell r="F35">
            <v>30.162363785519243</v>
          </cell>
          <cell r="G35">
            <v>40.847634641310947</v>
          </cell>
          <cell r="H35">
            <v>45.121203699660143</v>
          </cell>
        </row>
        <row r="36">
          <cell r="F36">
            <v>11.802023245318566</v>
          </cell>
          <cell r="G36">
            <v>12.452245881246762</v>
          </cell>
          <cell r="H36">
            <v>13.863056583652925</v>
          </cell>
        </row>
        <row r="37">
          <cell r="F37">
            <v>2.6809187149518623</v>
          </cell>
          <cell r="G37">
            <v>28.129712431015374</v>
          </cell>
          <cell r="H37">
            <v>31.072706461563044</v>
          </cell>
        </row>
        <row r="38">
          <cell r="F38">
            <v>18.821384998641435</v>
          </cell>
          <cell r="G38">
            <v>40.476884784637036</v>
          </cell>
          <cell r="H38">
            <v>44.711664632859254</v>
          </cell>
        </row>
        <row r="39">
          <cell r="F39">
            <v>0.66673034699594524</v>
          </cell>
          <cell r="G39">
            <v>0.11615851234544446</v>
          </cell>
          <cell r="H39">
            <v>0.42404525605793553</v>
          </cell>
        </row>
        <row r="40">
          <cell r="F40">
            <v>0</v>
          </cell>
          <cell r="G40">
            <v>4.8562767341790783E-2</v>
          </cell>
          <cell r="H40">
            <v>0.24520783836628937</v>
          </cell>
        </row>
        <row r="41">
          <cell r="F41">
            <v>0.16690353776060754</v>
          </cell>
          <cell r="G41">
            <v>0</v>
          </cell>
          <cell r="H41">
            <v>0</v>
          </cell>
        </row>
        <row r="42">
          <cell r="F42">
            <v>2.7617001987391947</v>
          </cell>
          <cell r="G42">
            <v>2.6772587040988087</v>
          </cell>
          <cell r="H42">
            <v>2.5214277284491629</v>
          </cell>
        </row>
        <row r="43">
          <cell r="F43">
            <v>0</v>
          </cell>
          <cell r="G43">
            <v>0.30290948501891618</v>
          </cell>
          <cell r="H43">
            <v>1.3359401941376019</v>
          </cell>
        </row>
        <row r="44">
          <cell r="F44">
            <v>2.3047037802459576E-3</v>
          </cell>
          <cell r="G44">
            <v>1.1390045818487939E-3</v>
          </cell>
          <cell r="H44">
            <v>2.149268136721574E-4</v>
          </cell>
        </row>
        <row r="45">
          <cell r="F45">
            <v>0</v>
          </cell>
          <cell r="G45">
            <v>0.17527963874269897</v>
          </cell>
          <cell r="H45">
            <v>0.29159763743549139</v>
          </cell>
        </row>
        <row r="46">
          <cell r="F46">
            <v>1.0883168147294191E-2</v>
          </cell>
          <cell r="G46">
            <v>0.18147735201742932</v>
          </cell>
          <cell r="H46">
            <v>0.16930178017899367</v>
          </cell>
        </row>
        <row r="47">
          <cell r="F47">
            <v>3.2471137566342815E-3</v>
          </cell>
          <cell r="G47">
            <v>4.4141989486634848E-3</v>
          </cell>
          <cell r="H47">
            <v>8.1189179649043938E-4</v>
          </cell>
        </row>
        <row r="48">
          <cell r="F48">
            <v>6.4612590898425332E-3</v>
          </cell>
          <cell r="G48">
            <v>2.1086975593894719E-3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5.9697917314774961E-3</v>
          </cell>
          <cell r="G50">
            <v>6.161549021937815E-3</v>
          </cell>
          <cell r="H50">
            <v>2.3071947436806781E-3</v>
          </cell>
        </row>
        <row r="51">
          <cell r="F51">
            <v>2.0857707061907968E-2</v>
          </cell>
          <cell r="G51">
            <v>3.9451507455151892E-3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0.28170114660877404</v>
          </cell>
          <cell r="G53">
            <v>0.57386985672552404</v>
          </cell>
          <cell r="H53">
            <v>9.4989362486047044E-2</v>
          </cell>
        </row>
        <row r="54">
          <cell r="F54">
            <v>1.1059991663876836</v>
          </cell>
          <cell r="G54">
            <v>1.1059952646560558</v>
          </cell>
          <cell r="H54">
            <v>1.1059960890383447</v>
          </cell>
        </row>
        <row r="55">
          <cell r="F55">
            <v>7.6212249144166737E-3</v>
          </cell>
          <cell r="G55">
            <v>1.3505853696754529E-3</v>
          </cell>
          <cell r="H55">
            <v>0</v>
          </cell>
        </row>
        <row r="56">
          <cell r="F56">
            <v>2.8632132819830904E-3</v>
          </cell>
          <cell r="G56">
            <v>1.7994591366708732E-3</v>
          </cell>
          <cell r="H56">
            <v>6.843722599563526E-4</v>
          </cell>
        </row>
        <row r="57">
          <cell r="F57">
            <v>5.9192064982826198E-3</v>
          </cell>
          <cell r="G57">
            <v>1.0627505517486082E-2</v>
          </cell>
          <cell r="H57">
            <v>1.1944058701328874E-2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1.2491946699796801E-2</v>
          </cell>
          <cell r="G70">
            <v>1.9720798868560381E-2</v>
          </cell>
          <cell r="H70">
            <v>8.4865833890591921E-2</v>
          </cell>
        </row>
        <row r="71">
          <cell r="F71">
            <v>0.17498099052936214</v>
          </cell>
          <cell r="G71">
            <v>1.7900639036800472</v>
          </cell>
          <cell r="H71">
            <v>2.6207956794040963</v>
          </cell>
        </row>
        <row r="72">
          <cell r="F72">
            <v>0.11113547129349351</v>
          </cell>
          <cell r="G72">
            <v>1.3811952344451206</v>
          </cell>
          <cell r="H72">
            <v>2.6583565438757244</v>
          </cell>
        </row>
        <row r="73">
          <cell r="F73">
            <v>0.34751597739373535</v>
          </cell>
          <cell r="G73">
            <v>0.32485158087905663</v>
          </cell>
          <cell r="H73">
            <v>0.42525067835887498</v>
          </cell>
        </row>
        <row r="74">
          <cell r="F74">
            <v>0.65839536143242539</v>
          </cell>
          <cell r="G74">
            <v>0.54489434093390698</v>
          </cell>
          <cell r="H74">
            <v>0.74610882221243369</v>
          </cell>
        </row>
        <row r="75">
          <cell r="F75">
            <v>6.8467750234762648E-2</v>
          </cell>
          <cell r="G75">
            <v>0.47954365517685765</v>
          </cell>
          <cell r="H75">
            <v>0.63062223008384244</v>
          </cell>
        </row>
        <row r="76">
          <cell r="F76">
            <v>0.42566057934035528</v>
          </cell>
          <cell r="G76">
            <v>0.69044575869902403</v>
          </cell>
          <cell r="H76">
            <v>0.92360415464682133</v>
          </cell>
        </row>
        <row r="90">
          <cell r="F90">
            <v>0</v>
          </cell>
          <cell r="G90">
            <v>3.7359262075944917E-4</v>
          </cell>
          <cell r="H90">
            <v>3.7747253440832505E-4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2.1389873848391563</v>
          </cell>
          <cell r="G92">
            <v>3.2843396994485698</v>
          </cell>
          <cell r="H92">
            <v>3.8107441390447949</v>
          </cell>
        </row>
        <row r="93">
          <cell r="F93">
            <v>12.342963981975803</v>
          </cell>
          <cell r="G93">
            <v>13.015976108592502</v>
          </cell>
          <cell r="H93">
            <v>13.24286586089366</v>
          </cell>
        </row>
        <row r="94">
          <cell r="F94">
            <v>5.4830808639023329E-3</v>
          </cell>
          <cell r="G94">
            <v>2.3787411047994102E-3</v>
          </cell>
          <cell r="H94">
            <v>7.351847783747198E-5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5.6389445996744992E-3</v>
          </cell>
          <cell r="H96">
            <v>0.3087129393087758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0.9017901451920407</v>
          </cell>
          <cell r="G98">
            <v>0.90178609115273412</v>
          </cell>
          <cell r="H98">
            <v>0.90179598438975528</v>
          </cell>
        </row>
        <row r="99">
          <cell r="F99">
            <v>1.2993061074049099</v>
          </cell>
          <cell r="G99">
            <v>0</v>
          </cell>
          <cell r="H99">
            <v>0</v>
          </cell>
        </row>
        <row r="100">
          <cell r="F100">
            <v>1.3785713153177892E-4</v>
          </cell>
          <cell r="G100">
            <v>2.1851311926684877E-4</v>
          </cell>
          <cell r="H100">
            <v>9.6696998716484283E-6</v>
          </cell>
        </row>
        <row r="101">
          <cell r="F101">
            <v>1.5842271085238864</v>
          </cell>
          <cell r="G101">
            <v>1.225888850290302</v>
          </cell>
          <cell r="H101">
            <v>1.6015104733813377</v>
          </cell>
        </row>
        <row r="102">
          <cell r="F102">
            <v>1.2421190673452979E-4</v>
          </cell>
          <cell r="G102">
            <v>1.2428682070868261E-4</v>
          </cell>
          <cell r="H102">
            <v>1.2598952457133089E-4</v>
          </cell>
        </row>
        <row r="103">
          <cell r="F103">
            <v>1.0850979010509807</v>
          </cell>
          <cell r="G103">
            <v>0.18656465511240719</v>
          </cell>
          <cell r="H103">
            <v>0.73970078857414467</v>
          </cell>
        </row>
        <row r="104">
          <cell r="F104">
            <v>0.82750682522961438</v>
          </cell>
          <cell r="G104">
            <v>0</v>
          </cell>
          <cell r="H104">
            <v>0</v>
          </cell>
        </row>
        <row r="105">
          <cell r="F105">
            <v>5.8420581127175382</v>
          </cell>
          <cell r="G105">
            <v>6.3042019385182808</v>
          </cell>
          <cell r="H105">
            <v>8.1598167593181756</v>
          </cell>
        </row>
        <row r="106">
          <cell r="F106">
            <v>1.3601058982172455E-2</v>
          </cell>
          <cell r="G106">
            <v>0.89356729691310677</v>
          </cell>
          <cell r="H106">
            <v>0.9899003814666647</v>
          </cell>
        </row>
        <row r="107">
          <cell r="F107">
            <v>1.5416342835396714E-3</v>
          </cell>
          <cell r="G107">
            <v>1.9843646649955141E-3</v>
          </cell>
          <cell r="H107">
            <v>3.2760546174175666E-4</v>
          </cell>
        </row>
        <row r="108">
          <cell r="F108">
            <v>7.3323971255002335E-3</v>
          </cell>
          <cell r="G108">
            <v>0.10888641121045763</v>
          </cell>
          <cell r="H108">
            <v>8.4650890089496847E-2</v>
          </cell>
        </row>
        <row r="109">
          <cell r="F109">
            <v>1.4639043150921439E-2</v>
          </cell>
          <cell r="G109">
            <v>4.7353208351202155E-3</v>
          </cell>
          <cell r="H109">
            <v>0</v>
          </cell>
        </row>
        <row r="110">
          <cell r="F110">
            <v>1.5782885397696598E-2</v>
          </cell>
          <cell r="G110">
            <v>1.5946183958993887E-2</v>
          </cell>
          <cell r="H110">
            <v>5.7341089522984605E-3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4.2581635837862411E-2</v>
          </cell>
          <cell r="G112">
            <v>7.954976093415873E-3</v>
          </cell>
          <cell r="H112">
            <v>0</v>
          </cell>
        </row>
        <row r="113">
          <cell r="F113">
            <v>0.74935280378688796</v>
          </cell>
          <cell r="G113">
            <v>1.5265503577920376</v>
          </cell>
          <cell r="H113">
            <v>0.25268106277076569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1.1649736873373264</v>
          </cell>
          <cell r="G115">
            <v>1.0059588732980693</v>
          </cell>
          <cell r="H115">
            <v>1.0059596231156345</v>
          </cell>
        </row>
        <row r="116">
          <cell r="F116">
            <v>1.0793889095215533E-2</v>
          </cell>
          <cell r="G116">
            <v>2.0258780545131779E-3</v>
          </cell>
          <cell r="H116">
            <v>0</v>
          </cell>
        </row>
        <row r="117">
          <cell r="F117">
            <v>4.4772785659247926E-3</v>
          </cell>
          <cell r="G117">
            <v>2.7518801915531795E-3</v>
          </cell>
          <cell r="H117">
            <v>1.0058297980570902E-3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4.0909447640664724E-3</v>
          </cell>
          <cell r="G119">
            <v>6.6913923628616114E-3</v>
          </cell>
          <cell r="H119">
            <v>6.750989700751108E-3</v>
          </cell>
        </row>
        <row r="123">
          <cell r="F123">
            <v>12.197321289892168</v>
          </cell>
          <cell r="G123">
            <v>12.819523081109443</v>
          </cell>
          <cell r="H123">
            <v>14.160728912955626</v>
          </cell>
        </row>
      </sheetData>
      <sheetData sheetId="59">
        <row r="13">
          <cell r="F13">
            <v>16.167000137989838</v>
          </cell>
          <cell r="G13">
            <v>17.071581724735235</v>
          </cell>
          <cell r="H13">
            <v>17.554980004585513</v>
          </cell>
        </row>
        <row r="14">
          <cell r="F14">
            <v>167.60312820269229</v>
          </cell>
          <cell r="G14">
            <v>98.945517737745703</v>
          </cell>
          <cell r="H14">
            <v>0</v>
          </cell>
        </row>
        <row r="15">
          <cell r="F15">
            <v>72.614680964563476</v>
          </cell>
          <cell r="G15">
            <v>73.883720214170353</v>
          </cell>
          <cell r="H15">
            <v>74.836063035420736</v>
          </cell>
        </row>
        <row r="16">
          <cell r="F16">
            <v>63.871732700338775</v>
          </cell>
          <cell r="G16">
            <v>64.430908432464136</v>
          </cell>
          <cell r="H16">
            <v>67.134967183378762</v>
          </cell>
        </row>
        <row r="18">
          <cell r="F18">
            <v>1.2168935492371262E-2</v>
          </cell>
          <cell r="G18">
            <v>9.825982692377307E-3</v>
          </cell>
          <cell r="H18">
            <v>2.4324598642027172E-4</v>
          </cell>
        </row>
        <row r="19">
          <cell r="F19">
            <v>20.958787864343655</v>
          </cell>
          <cell r="G19">
            <v>16.58367819676646</v>
          </cell>
          <cell r="H19">
            <v>8.9546387065054175E-3</v>
          </cell>
        </row>
        <row r="20">
          <cell r="F20">
            <v>0</v>
          </cell>
          <cell r="G20">
            <v>7.0665867050171807</v>
          </cell>
          <cell r="H20">
            <v>27.330604953781418</v>
          </cell>
        </row>
        <row r="21">
          <cell r="F21">
            <v>0</v>
          </cell>
          <cell r="G21">
            <v>4.2455643243824639E-5</v>
          </cell>
          <cell r="H21">
            <v>7.0532134056897422E-3</v>
          </cell>
        </row>
        <row r="22">
          <cell r="F22">
            <v>0</v>
          </cell>
          <cell r="G22">
            <v>3.6116816724056689E-5</v>
          </cell>
          <cell r="H22">
            <v>6.4201293213668506E-2</v>
          </cell>
          <cell r="P22">
            <v>0.44285845605410551</v>
          </cell>
          <cell r="Q22">
            <v>0.1064581096797044</v>
          </cell>
          <cell r="R22">
            <v>0.41696582388697756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9.6283929151248809E-2</v>
          </cell>
          <cell r="Q23">
            <v>7.2630394275099028E-2</v>
          </cell>
          <cell r="R23">
            <v>0.68016360021395961</v>
          </cell>
        </row>
        <row r="24">
          <cell r="F24">
            <v>0</v>
          </cell>
          <cell r="G24">
            <v>1.1002829095417767E-6</v>
          </cell>
          <cell r="H24">
            <v>0</v>
          </cell>
        </row>
        <row r="25">
          <cell r="F25">
            <v>2.8153666217651891</v>
          </cell>
          <cell r="G25">
            <v>3.1973089105343</v>
          </cell>
          <cell r="H25">
            <v>3.7812294285421886</v>
          </cell>
        </row>
        <row r="26">
          <cell r="F26">
            <v>40.54701845445932</v>
          </cell>
          <cell r="G26">
            <v>35.62899722631127</v>
          </cell>
          <cell r="H26">
            <v>16.934534129543547</v>
          </cell>
        </row>
        <row r="27">
          <cell r="F27">
            <v>0</v>
          </cell>
          <cell r="G27">
            <v>8.2010934804701812</v>
          </cell>
          <cell r="H27">
            <v>27.673020603873471</v>
          </cell>
        </row>
        <row r="28">
          <cell r="F28">
            <v>1.1080028922031162E-2</v>
          </cell>
          <cell r="G28">
            <v>4.4919557097932118E-3</v>
          </cell>
          <cell r="H28">
            <v>1.5201256216175761E-4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1.1056754117008858E-2</v>
          </cell>
          <cell r="H30">
            <v>0.58247724397882295</v>
          </cell>
        </row>
        <row r="31">
          <cell r="F31">
            <v>0</v>
          </cell>
          <cell r="G31">
            <v>6.3640072602607102E-3</v>
          </cell>
          <cell r="H31">
            <v>3.0025358521642325</v>
          </cell>
        </row>
        <row r="32">
          <cell r="F32">
            <v>0</v>
          </cell>
          <cell r="G32">
            <v>7.7849317617903182</v>
          </cell>
          <cell r="H32">
            <v>49.726102264164759</v>
          </cell>
        </row>
        <row r="33">
          <cell r="F33">
            <v>3.6359136971127484</v>
          </cell>
          <cell r="G33">
            <v>7.1993686268488046</v>
          </cell>
          <cell r="H33">
            <v>28.866691214106275</v>
          </cell>
        </row>
        <row r="34">
          <cell r="F34">
            <v>2.1035432273841494</v>
          </cell>
          <cell r="G34">
            <v>17.943283841422485</v>
          </cell>
          <cell r="H34">
            <v>18.107481707106274</v>
          </cell>
        </row>
        <row r="35">
          <cell r="F35">
            <v>30.162363785519243</v>
          </cell>
          <cell r="G35">
            <v>40.847634641310947</v>
          </cell>
          <cell r="H35">
            <v>45.121203699660143</v>
          </cell>
        </row>
        <row r="36">
          <cell r="F36">
            <v>11.802023245318566</v>
          </cell>
          <cell r="G36">
            <v>12.452245881246762</v>
          </cell>
          <cell r="H36">
            <v>13.863056583652925</v>
          </cell>
        </row>
        <row r="37">
          <cell r="F37">
            <v>2.6809187149518623</v>
          </cell>
          <cell r="G37">
            <v>28.129712431015374</v>
          </cell>
          <cell r="H37">
            <v>31.072706461563044</v>
          </cell>
        </row>
        <row r="38">
          <cell r="F38">
            <v>18.821384998641435</v>
          </cell>
          <cell r="G38">
            <v>40.476884784637036</v>
          </cell>
          <cell r="H38">
            <v>44.711664632859254</v>
          </cell>
        </row>
        <row r="39">
          <cell r="F39">
            <v>1.8529912998573497</v>
          </cell>
          <cell r="G39">
            <v>0.47751778276658996</v>
          </cell>
          <cell r="H39">
            <v>2.8110361619411641</v>
          </cell>
        </row>
        <row r="40">
          <cell r="F40">
            <v>0</v>
          </cell>
          <cell r="G40">
            <v>0.1525338657722177</v>
          </cell>
          <cell r="H40">
            <v>1.1878413840203224</v>
          </cell>
        </row>
        <row r="41">
          <cell r="F41">
            <v>0.63505341665316473</v>
          </cell>
          <cell r="G41">
            <v>0</v>
          </cell>
          <cell r="H41">
            <v>0</v>
          </cell>
        </row>
        <row r="42">
          <cell r="F42">
            <v>7.9912749569616093</v>
          </cell>
          <cell r="G42">
            <v>7.5937474387663366</v>
          </cell>
          <cell r="H42">
            <v>6.8613200337696494</v>
          </cell>
        </row>
        <row r="43">
          <cell r="F43">
            <v>0</v>
          </cell>
          <cell r="G43">
            <v>0.91780842781370708</v>
          </cell>
          <cell r="H43">
            <v>3.8291465721670668</v>
          </cell>
        </row>
        <row r="44">
          <cell r="F44">
            <v>3.7189046444626062E-2</v>
          </cell>
          <cell r="G44">
            <v>1.8379149050771353E-2</v>
          </cell>
          <cell r="H44">
            <v>3.4680913548882858E-3</v>
          </cell>
        </row>
        <row r="45">
          <cell r="F45">
            <v>0</v>
          </cell>
          <cell r="G45">
            <v>3.1425984264927345</v>
          </cell>
          <cell r="H45">
            <v>5.2280703175053969</v>
          </cell>
        </row>
        <row r="46">
          <cell r="F46">
            <v>2.0829029946974515E-2</v>
          </cell>
          <cell r="G46">
            <v>0.32995882184987158</v>
          </cell>
          <cell r="H46">
            <v>0.28216963363165615</v>
          </cell>
        </row>
        <row r="47">
          <cell r="B47">
            <v>0</v>
          </cell>
        </row>
        <row r="48">
          <cell r="F48">
            <v>2.8428545090802854E-2</v>
          </cell>
          <cell r="G48">
            <v>7.97795686282835E-3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2.7710111925936021E-2</v>
          </cell>
          <cell r="G50">
            <v>2.5642203249418308E-2</v>
          </cell>
          <cell r="H50">
            <v>9.8259824447134922E-3</v>
          </cell>
        </row>
        <row r="51">
          <cell r="F51">
            <v>7.4397610724781627E-2</v>
          </cell>
          <cell r="G51">
            <v>1.3608600357375442E-2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1.0533998620033365</v>
          </cell>
          <cell r="G53">
            <v>2.0938537391680221</v>
          </cell>
          <cell r="H53">
            <v>0.33401928149734883</v>
          </cell>
        </row>
        <row r="54">
          <cell r="F54">
            <v>2.9946595639826699</v>
          </cell>
          <cell r="G54">
            <v>2.9498746804029392</v>
          </cell>
          <cell r="H54">
            <v>2.8718142141048943</v>
          </cell>
        </row>
        <row r="55">
          <cell r="F55">
            <v>2.3758172401419527E-2</v>
          </cell>
          <cell r="G55">
            <v>4.0584237043754775E-3</v>
          </cell>
          <cell r="H55">
            <v>0</v>
          </cell>
        </row>
        <row r="56">
          <cell r="F56">
            <v>1.0454502455616167E-2</v>
          </cell>
          <cell r="G56">
            <v>5.9869311841279724E-3</v>
          </cell>
          <cell r="H56">
            <v>2.4463159320467485E-3</v>
          </cell>
        </row>
        <row r="57">
          <cell r="F57">
            <v>1.1663461080359833E-2</v>
          </cell>
          <cell r="G57">
            <v>1.9680565773122355E-2</v>
          </cell>
          <cell r="H57">
            <v>2.0772276002311085E-2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1.7852827893906083E-2</v>
          </cell>
          <cell r="G63">
            <v>2.818048286296921E-2</v>
          </cell>
          <cell r="H63">
            <v>0.12124209386604323</v>
          </cell>
        </row>
        <row r="64">
          <cell r="F64">
            <v>0.20181901249616385</v>
          </cell>
          <cell r="G64">
            <v>2.0645745416790322</v>
          </cell>
          <cell r="H64">
            <v>3.0226964364452544</v>
          </cell>
        </row>
        <row r="65">
          <cell r="F65">
            <v>0.12428053474314817</v>
          </cell>
          <cell r="G65">
            <v>1.5444963177919218</v>
          </cell>
          <cell r="H65">
            <v>2.9726567669716411</v>
          </cell>
        </row>
        <row r="66">
          <cell r="F66">
            <v>0.38430796267109019</v>
          </cell>
          <cell r="G66">
            <v>0.35924344460645841</v>
          </cell>
          <cell r="H66">
            <v>0.47027127209588848</v>
          </cell>
        </row>
        <row r="67">
          <cell r="F67">
            <v>0.72810080649221498</v>
          </cell>
          <cell r="G67">
            <v>0.60258250391522972</v>
          </cell>
          <cell r="H67">
            <v>0.82509851527940103</v>
          </cell>
        </row>
        <row r="68">
          <cell r="F68">
            <v>7.5720628866933606E-2</v>
          </cell>
          <cell r="G68">
            <v>0.53031348111843779</v>
          </cell>
          <cell r="H68">
            <v>0.69738595859256547</v>
          </cell>
        </row>
        <row r="69">
          <cell r="F69">
            <v>0.47072532698955805</v>
          </cell>
          <cell r="G69">
            <v>0.76354117561247381</v>
          </cell>
          <cell r="H69">
            <v>1.0213828376673395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1.1839708084664389</v>
          </cell>
          <cell r="G91">
            <v>1.1839654858709106</v>
          </cell>
          <cell r="H91">
            <v>1.1839784748172806</v>
          </cell>
        </row>
        <row r="92">
          <cell r="F92">
            <v>0.64965305370245496</v>
          </cell>
          <cell r="G92">
            <v>0</v>
          </cell>
          <cell r="H92">
            <v>0</v>
          </cell>
        </row>
        <row r="93">
          <cell r="F93">
            <v>1.6133925103028961E-4</v>
          </cell>
          <cell r="G93">
            <v>2.557339080762661E-4</v>
          </cell>
          <cell r="H93">
            <v>1.1316803981372618E-5</v>
          </cell>
        </row>
        <row r="94">
          <cell r="F94">
            <v>2.2631815836055513</v>
          </cell>
          <cell r="G94">
            <v>1.7512697861290045</v>
          </cell>
          <cell r="H94">
            <v>2.2878721048304835</v>
          </cell>
        </row>
        <row r="95">
          <cell r="F95">
            <v>2.484238134690598E-4</v>
          </cell>
          <cell r="G95">
            <v>2.485736414173656E-4</v>
          </cell>
          <cell r="H95">
            <v>2.5197904914266188E-4</v>
          </cell>
        </row>
        <row r="96">
          <cell r="F96">
            <v>0</v>
          </cell>
          <cell r="G96">
            <v>4.3952073030523398E-4</v>
          </cell>
          <cell r="H96">
            <v>4.4408533459802945E-4</v>
          </cell>
        </row>
        <row r="97">
          <cell r="F97">
            <v>4.0657737632973854</v>
          </cell>
          <cell r="G97">
            <v>4.2731743603698114</v>
          </cell>
          <cell r="H97">
            <v>4.7202429709852112</v>
          </cell>
        </row>
      </sheetData>
      <sheetData sheetId="60">
        <row r="14">
          <cell r="F14">
            <v>2.0753299133498935</v>
          </cell>
          <cell r="G14">
            <v>1.2356853945682451</v>
          </cell>
          <cell r="H14">
            <v>0</v>
          </cell>
        </row>
        <row r="15">
          <cell r="F15">
            <v>7.465779765818608</v>
          </cell>
          <cell r="G15">
            <v>7.6233545255888169</v>
          </cell>
          <cell r="H15">
            <v>7.7285912345669914</v>
          </cell>
        </row>
        <row r="16">
          <cell r="F16">
            <v>4.9024770863333149</v>
          </cell>
          <cell r="G16">
            <v>5.0193076081171935</v>
          </cell>
          <cell r="H16">
            <v>5.365706546592957</v>
          </cell>
        </row>
        <row r="17">
          <cell r="F17">
            <v>4.3599533241558088</v>
          </cell>
          <cell r="G17">
            <v>4.3599535613207543</v>
          </cell>
          <cell r="H17">
            <v>4.3599542478113706</v>
          </cell>
        </row>
        <row r="18">
          <cell r="F18">
            <v>3.9363158931928641E-2</v>
          </cell>
          <cell r="G18">
            <v>2.2942382704559599E-2</v>
          </cell>
          <cell r="H18">
            <v>1.1751069581406003E-3</v>
          </cell>
        </row>
        <row r="19">
          <cell r="F19">
            <v>0.27948897049224325</v>
          </cell>
          <cell r="G19">
            <v>0.24621395798974</v>
          </cell>
          <cell r="H19">
            <v>1.9722036265870657E-4</v>
          </cell>
        </row>
        <row r="20">
          <cell r="F20">
            <v>0</v>
          </cell>
          <cell r="G20">
            <v>8.9479857914063599E-2</v>
          </cell>
          <cell r="H20">
            <v>0.37460546593875538</v>
          </cell>
        </row>
        <row r="21">
          <cell r="F21">
            <v>0</v>
          </cell>
          <cell r="G21">
            <v>7.8579780977719592E-6</v>
          </cell>
          <cell r="H21">
            <v>5.421802439597315E-4</v>
          </cell>
        </row>
        <row r="22">
          <cell r="F22">
            <v>2.6689355799727798E-4</v>
          </cell>
          <cell r="G22">
            <v>1.1116225303625992E-3</v>
          </cell>
          <cell r="H22">
            <v>2.5567281346811393E-2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-1.445480674858949E-6</v>
          </cell>
          <cell r="G24">
            <v>0</v>
          </cell>
          <cell r="H24">
            <v>0</v>
          </cell>
        </row>
        <row r="25">
          <cell r="F25">
            <v>3.1290726636233474E-2</v>
          </cell>
          <cell r="G25">
            <v>5.2986730605017927E-2</v>
          </cell>
          <cell r="H25">
            <v>9.7767357524753087E-2</v>
          </cell>
        </row>
        <row r="26">
          <cell r="F26">
            <v>6.9926518875612284E-2</v>
          </cell>
          <cell r="G26">
            <v>5.417619575067139E-2</v>
          </cell>
          <cell r="H26">
            <v>1.0144310121346783E-4</v>
          </cell>
        </row>
        <row r="27">
          <cell r="F27">
            <v>0</v>
          </cell>
          <cell r="G27">
            <v>4.06480654850652E-2</v>
          </cell>
          <cell r="H27">
            <v>8.1644650534713537E-2</v>
          </cell>
        </row>
        <row r="28">
          <cell r="F28">
            <v>8.3104969007433919E-4</v>
          </cell>
          <cell r="G28">
            <v>2.8602793757062607E-4</v>
          </cell>
          <cell r="H28">
            <v>1.4580758270147642E-4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5.0423850554799404E-4</v>
          </cell>
          <cell r="H30">
            <v>2.5168324973628323E-2</v>
          </cell>
        </row>
        <row r="31">
          <cell r="F31">
            <v>0</v>
          </cell>
          <cell r="G31">
            <v>2.16335493419722E-4</v>
          </cell>
          <cell r="H31">
            <v>8.4839063346622182E-2</v>
          </cell>
        </row>
        <row r="32">
          <cell r="F32">
            <v>0</v>
          </cell>
          <cell r="G32">
            <v>4.6338895106723101E-2</v>
          </cell>
          <cell r="H32">
            <v>0.29599837298286147</v>
          </cell>
        </row>
        <row r="33">
          <cell r="F33">
            <v>0.60450662307696579</v>
          </cell>
          <cell r="G33">
            <v>1.1969656317551769</v>
          </cell>
          <cell r="H33">
            <v>4.7993645480607396</v>
          </cell>
        </row>
        <row r="34">
          <cell r="F34">
            <v>0.43631846065998692</v>
          </cell>
          <cell r="G34">
            <v>4.6911860984443372</v>
          </cell>
          <cell r="H34">
            <v>4.6715343901157382</v>
          </cell>
        </row>
        <row r="35">
          <cell r="F35">
            <v>8.6949342045311795</v>
          </cell>
          <cell r="G35">
            <v>11.775187815584237</v>
          </cell>
          <cell r="H35">
            <v>13.007132396680801</v>
          </cell>
        </row>
        <row r="36">
          <cell r="F36">
            <v>3.4021852903327447</v>
          </cell>
          <cell r="G36">
            <v>3.589627211340138</v>
          </cell>
          <cell r="H36">
            <v>3.9963200848762099</v>
          </cell>
        </row>
        <row r="37">
          <cell r="F37">
            <v>0.77283678883781193</v>
          </cell>
          <cell r="G37">
            <v>8.1089835823548118</v>
          </cell>
          <cell r="H37">
            <v>8.9573602578701994</v>
          </cell>
        </row>
        <row r="38">
          <cell r="F38">
            <v>5.4256604838437585</v>
          </cell>
          <cell r="G38">
            <v>11.66831130108419</v>
          </cell>
          <cell r="H38">
            <v>12.889074230548401</v>
          </cell>
        </row>
        <row r="39">
          <cell r="F39">
            <v>2.7855889919537538E-2</v>
          </cell>
          <cell r="G39">
            <v>2.7626026227765357E-2</v>
          </cell>
          <cell r="H39">
            <v>3.2936369274640248E-2</v>
          </cell>
        </row>
        <row r="40">
          <cell r="F40">
            <v>0</v>
          </cell>
          <cell r="G40">
            <v>7.4783955322632496E-3</v>
          </cell>
          <cell r="H40">
            <v>2.9868788307348609E-2</v>
          </cell>
        </row>
        <row r="41">
          <cell r="F41">
            <v>1.3309835871917525E-2</v>
          </cell>
          <cell r="G41">
            <v>0</v>
          </cell>
          <cell r="H41">
            <v>0</v>
          </cell>
        </row>
        <row r="42">
          <cell r="F42">
            <v>0.13764839674664123</v>
          </cell>
          <cell r="G42">
            <v>0.12753224107348032</v>
          </cell>
          <cell r="H42">
            <v>0.12546346591119606</v>
          </cell>
        </row>
        <row r="43">
          <cell r="F43">
            <v>0</v>
          </cell>
          <cell r="G43">
            <v>2.2663437013690502E-2</v>
          </cell>
          <cell r="H43">
            <v>6.29347988890787E-2</v>
          </cell>
        </row>
        <row r="44">
          <cell r="F44">
            <v>5.4316528136842505E-4</v>
          </cell>
          <cell r="G44">
            <v>4.6606836130933665E-4</v>
          </cell>
          <cell r="H44">
            <v>1.185896491435667E-4</v>
          </cell>
        </row>
        <row r="45">
          <cell r="F45">
            <v>0</v>
          </cell>
          <cell r="G45">
            <v>1.76184619112063E-2</v>
          </cell>
          <cell r="H45">
            <v>2.9278209196955771E-2</v>
          </cell>
        </row>
        <row r="46">
          <cell r="F46">
            <v>9.1220903981886802E-4</v>
          </cell>
          <cell r="G46">
            <v>2.3515717186607461E-2</v>
          </cell>
          <cell r="H46">
            <v>1.721828694078829E-2</v>
          </cell>
        </row>
        <row r="47">
          <cell r="F47">
            <v>3.9685703267127701E-4</v>
          </cell>
          <cell r="G47">
            <v>3.9870647725761377E-4</v>
          </cell>
          <cell r="H47">
            <v>1.723654940287404E-4</v>
          </cell>
        </row>
        <row r="48">
          <cell r="F48">
            <v>5.7339675540180155E-4</v>
          </cell>
          <cell r="G48">
            <v>2.1964253174641939E-4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5.3107838235310419E-4</v>
          </cell>
          <cell r="G50">
            <v>5.4772834417287405E-4</v>
          </cell>
          <cell r="H50">
            <v>2.0501272831665527E-4</v>
          </cell>
        </row>
        <row r="51">
          <cell r="F51">
            <v>1.5467275137060947E-3</v>
          </cell>
          <cell r="G51">
            <v>6.1569272701848365E-4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2.090479284157578E-2</v>
          </cell>
          <cell r="G53">
            <v>4.2583494702726654E-2</v>
          </cell>
          <cell r="H53">
            <v>7.0494689524331494E-3</v>
          </cell>
        </row>
        <row r="54">
          <cell r="F54">
            <v>8.4750768226443479E-2</v>
          </cell>
          <cell r="G54">
            <v>8.4749048658237805E-2</v>
          </cell>
          <cell r="H54">
            <v>8.474857690572965E-2</v>
          </cell>
        </row>
        <row r="55">
          <cell r="F55">
            <v>4.4707882377434047E-4</v>
          </cell>
          <cell r="G55">
            <v>2.1852278395369934E-4</v>
          </cell>
          <cell r="H55">
            <v>0</v>
          </cell>
        </row>
        <row r="56">
          <cell r="F56">
            <v>2.6460915732320819E-4</v>
          </cell>
          <cell r="G56">
            <v>2.1893251478025943E-4</v>
          </cell>
          <cell r="H56">
            <v>9.2096451240592005E-5</v>
          </cell>
        </row>
        <row r="57">
          <cell r="F57">
            <v>3.5110545180600222E-4</v>
          </cell>
          <cell r="G57">
            <v>6.2397054411420546E-4</v>
          </cell>
          <cell r="H57">
            <v>7.0451440388517319E-4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9.9997849639445927E-2</v>
          </cell>
          <cell r="G63">
            <v>9.9998356215975623E-2</v>
          </cell>
          <cell r="H63">
            <v>9.9998579930351536E-2</v>
          </cell>
        </row>
        <row r="64">
          <cell r="F64">
            <v>9.2291691023606556E-2</v>
          </cell>
          <cell r="G64">
            <v>1.2286386875382413</v>
          </cell>
          <cell r="H64">
            <v>1.228679658078857</v>
          </cell>
        </row>
        <row r="65">
          <cell r="F65">
            <v>3.4501257678643968E-2</v>
          </cell>
          <cell r="G65">
            <v>0.42822113048497035</v>
          </cell>
          <cell r="H65">
            <v>0.81220447130134465</v>
          </cell>
        </row>
        <row r="66">
          <cell r="F66">
            <v>0.1809844853541884</v>
          </cell>
          <cell r="G66">
            <v>0.25299384112246592</v>
          </cell>
          <cell r="H66">
            <v>0.30739699201873627</v>
          </cell>
        </row>
        <row r="67">
          <cell r="F67">
            <v>0.36054016996239802</v>
          </cell>
          <cell r="G67">
            <v>0.40159097935933175</v>
          </cell>
          <cell r="H67">
            <v>0.50264356217165673</v>
          </cell>
        </row>
        <row r="68">
          <cell r="F68">
            <v>2.8503159746844912E-2</v>
          </cell>
          <cell r="G68">
            <v>0.3508010380320335</v>
          </cell>
          <cell r="H68">
            <v>0.41218953313839873</v>
          </cell>
        </row>
        <row r="69">
          <cell r="F69">
            <v>0.22584274613560476</v>
          </cell>
          <cell r="G69">
            <v>0.50324762198942197</v>
          </cell>
          <cell r="H69">
            <v>0.61232789187937453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3.5075316950407831E-2</v>
          </cell>
          <cell r="G15">
            <v>5.4289560602671802E-2</v>
          </cell>
          <cell r="H15">
            <v>0.16968571539163124</v>
          </cell>
        </row>
        <row r="16">
          <cell r="F16">
            <v>6.6501421845122283E-2</v>
          </cell>
          <cell r="G16">
            <v>0.39672556116824187</v>
          </cell>
          <cell r="H16">
            <v>4.1877281258991052E-6</v>
          </cell>
        </row>
        <row r="17">
          <cell r="F17">
            <v>2.3031661776213099E-7</v>
          </cell>
          <cell r="G17">
            <v>3.45962295158598E-7</v>
          </cell>
          <cell r="H17">
            <v>1.1258809863405099E-6</v>
          </cell>
        </row>
        <row r="18">
          <cell r="F18">
            <v>1.29473481182584E-5</v>
          </cell>
          <cell r="G18">
            <v>5.0807403804496397E-6</v>
          </cell>
          <cell r="H18">
            <v>5.3985977967512898E-6</v>
          </cell>
        </row>
        <row r="19">
          <cell r="F19">
            <v>7.5382698483842894E-2</v>
          </cell>
          <cell r="G19">
            <v>2.12893352185974E-7</v>
          </cell>
          <cell r="H19">
            <v>7.3884773102246406E-8</v>
          </cell>
        </row>
        <row r="20">
          <cell r="F20">
            <v>0</v>
          </cell>
          <cell r="G20">
            <v>8.9479857914063599E-2</v>
          </cell>
          <cell r="H20">
            <v>0.28512566830980002</v>
          </cell>
        </row>
        <row r="21">
          <cell r="F21">
            <v>0</v>
          </cell>
          <cell r="G21">
            <v>1.63201610698933E-5</v>
          </cell>
          <cell r="H21">
            <v>7.1124100275586296E-4</v>
          </cell>
        </row>
        <row r="22">
          <cell r="F22">
            <v>1.1082796781059501E-3</v>
          </cell>
          <cell r="G22">
            <v>1.13455635049839E-5</v>
          </cell>
          <cell r="H22">
            <v>3.3043891097275097E-2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3.08651196340438E-2</v>
          </cell>
          <cell r="G25">
            <v>2.18303540157757E-2</v>
          </cell>
          <cell r="H25">
            <v>5.1283835479285701E-2</v>
          </cell>
        </row>
        <row r="26">
          <cell r="F26">
            <v>2.3380724564521201E-3</v>
          </cell>
          <cell r="G26">
            <v>4.3262207190124498E-3</v>
          </cell>
          <cell r="H26">
            <v>7.0324090136095097E-8</v>
          </cell>
        </row>
        <row r="27">
          <cell r="F27">
            <v>0</v>
          </cell>
          <cell r="G27">
            <v>4.06480654850652E-2</v>
          </cell>
          <cell r="H27">
            <v>4.0996645218528603E-2</v>
          </cell>
        </row>
        <row r="28">
          <cell r="F28">
            <v>2.0044355075596699E-5</v>
          </cell>
          <cell r="G28">
            <v>5.3963931113551799E-5</v>
          </cell>
          <cell r="H28">
            <v>7.7435595196724094E-5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5.0423850554799404E-4</v>
          </cell>
          <cell r="H30">
            <v>2.4664252173115801E-2</v>
          </cell>
        </row>
        <row r="31">
          <cell r="F31">
            <v>0</v>
          </cell>
          <cell r="G31">
            <v>4.49305158886327E-4</v>
          </cell>
          <cell r="H31">
            <v>0.11404587878108099</v>
          </cell>
        </row>
        <row r="32">
          <cell r="F32">
            <v>0</v>
          </cell>
          <cell r="G32">
            <v>0.29600066469796799</v>
          </cell>
          <cell r="H32">
            <v>1.7866169119199199E-6</v>
          </cell>
        </row>
        <row r="33">
          <cell r="F33">
            <v>0.74282829863918898</v>
          </cell>
          <cell r="G33">
            <v>9.7323486510094905E-6</v>
          </cell>
          <cell r="H33">
            <v>6.4927855300363797</v>
          </cell>
        </row>
        <row r="34">
          <cell r="F34">
            <v>0.60835629741415653</v>
          </cell>
          <cell r="G34">
            <v>3.8950455910708062</v>
          </cell>
          <cell r="H34">
            <v>5.7273585833171713E-6</v>
          </cell>
        </row>
        <row r="35">
          <cell r="F35">
            <v>3.5926283346746501</v>
          </cell>
          <cell r="G35">
            <v>3.7926838834861498</v>
          </cell>
          <cell r="H35">
            <v>5.7997203021948396</v>
          </cell>
        </row>
        <row r="36">
          <cell r="F36">
            <v>0.40046279018846898</v>
          </cell>
          <cell r="G36">
            <v>0.77055542937966104</v>
          </cell>
          <cell r="H36">
            <v>2.4891986524949918</v>
          </cell>
        </row>
        <row r="37">
          <cell r="F37">
            <v>0.12621207242964139</v>
          </cell>
          <cell r="G37">
            <v>7.5611423334086396</v>
          </cell>
          <cell r="H37">
            <v>1.2956355822238059</v>
          </cell>
        </row>
        <row r="38">
          <cell r="F38">
            <v>0.73176324932880199</v>
          </cell>
          <cell r="G38">
            <v>6.6501011516642397</v>
          </cell>
          <cell r="H38">
            <v>5.1187940435789301</v>
          </cell>
        </row>
        <row r="39">
          <cell r="F39">
            <v>2.5636116265224801E-2</v>
          </cell>
          <cell r="G39">
            <v>1.3169654352225557E-6</v>
          </cell>
          <cell r="H39">
            <v>1.1992894146932102E-2</v>
          </cell>
        </row>
        <row r="40">
          <cell r="F40">
            <v>0</v>
          </cell>
          <cell r="G40">
            <v>7.4783955322632496E-3</v>
          </cell>
          <cell r="H40">
            <v>2.23906548344633E-2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3.6799155891168403E-2</v>
          </cell>
          <cell r="G42">
            <v>4.1790133727290603E-2</v>
          </cell>
          <cell r="H42">
            <v>7.9569490852622202E-2</v>
          </cell>
        </row>
        <row r="43">
          <cell r="F43">
            <v>0</v>
          </cell>
          <cell r="G43">
            <v>2.2663437013690502E-2</v>
          </cell>
          <cell r="H43">
            <v>4.6487182881997297E-2</v>
          </cell>
        </row>
        <row r="44">
          <cell r="F44">
            <v>2.3760108134296701E-6</v>
          </cell>
          <cell r="G44">
            <v>1.99828888482119E-7</v>
          </cell>
          <cell r="H44">
            <v>6.7590478208254298E-8</v>
          </cell>
        </row>
        <row r="45">
          <cell r="F45">
            <v>0</v>
          </cell>
          <cell r="G45">
            <v>1.76184619112063E-2</v>
          </cell>
          <cell r="H45">
            <v>1.16598123952738E-2</v>
          </cell>
        </row>
        <row r="46">
          <cell r="F46">
            <v>9.1220903981886802E-4</v>
          </cell>
          <cell r="G46">
            <v>2.2603631529081E-2</v>
          </cell>
          <cell r="H46">
            <v>4.2852569017400299E-4</v>
          </cell>
        </row>
        <row r="47">
          <cell r="F47">
            <v>3.9685703267127701E-4</v>
          </cell>
          <cell r="G47">
            <v>2.04695514198868E-6</v>
          </cell>
          <cell r="H47">
            <v>3.2822352261226099E-6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3.4513835712251801E-4</v>
          </cell>
          <cell r="G50">
            <v>7.5781185596239195E-5</v>
          </cell>
          <cell r="H50">
            <v>4.2116855403963499E-6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2.05136843778294E-2</v>
          </cell>
          <cell r="G53">
            <v>2.1802994133771101E-2</v>
          </cell>
          <cell r="H53">
            <v>1.537465932580315E-6</v>
          </cell>
        </row>
        <row r="54">
          <cell r="F54">
            <v>4.4081802706105497E-2</v>
          </cell>
          <cell r="G54">
            <v>3.11557752968608E-2</v>
          </cell>
          <cell r="H54">
            <v>4.34917376479265E-2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1.15330555906283E-4</v>
          </cell>
          <cell r="G56">
            <v>2.0258725320525002E-6</v>
          </cell>
          <cell r="H56">
            <v>4.2079463374138899E-5</v>
          </cell>
        </row>
        <row r="57">
          <cell r="F57">
            <v>3.3885120134209999E-5</v>
          </cell>
          <cell r="G57">
            <v>3.7355729219347899E-4</v>
          </cell>
          <cell r="H57">
            <v>4.19266889452878E-4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1.33705845588925E-6</v>
          </cell>
          <cell r="G63">
            <v>1.4216362598558899E-6</v>
          </cell>
          <cell r="H63">
            <v>9.3531312446631899E-7</v>
          </cell>
        </row>
        <row r="64">
          <cell r="F64">
            <v>6.9165419808357803E-2</v>
          </cell>
          <cell r="G64">
            <v>1.1558685218496301</v>
          </cell>
          <cell r="H64">
            <v>0.63686895584832104</v>
          </cell>
        </row>
        <row r="65">
          <cell r="F65">
            <v>2.2162808638747301E-2</v>
          </cell>
          <cell r="G65">
            <v>0.40415633475096002</v>
          </cell>
          <cell r="H65">
            <v>0.60562956748461105</v>
          </cell>
        </row>
        <row r="66">
          <cell r="F66">
            <v>0.101903493700744</v>
          </cell>
          <cell r="G66">
            <v>0.143295449316509</v>
          </cell>
          <cell r="H66">
            <v>0.21765125429059201</v>
          </cell>
        </row>
        <row r="67">
          <cell r="F67">
            <v>0.110278214035199</v>
          </cell>
          <cell r="G67">
            <v>0.26173888356591102</v>
          </cell>
          <cell r="H67">
            <v>0.35202873939824597</v>
          </cell>
        </row>
        <row r="68">
          <cell r="F68">
            <v>1.528791294731789E-2</v>
          </cell>
          <cell r="G68">
            <v>0.33533440942883697</v>
          </cell>
          <cell r="H68">
            <v>0.24133588327164601</v>
          </cell>
        </row>
        <row r="69">
          <cell r="F69">
            <v>7.8469446521473696E-2</v>
          </cell>
          <cell r="G69">
            <v>0.40983961934813701</v>
          </cell>
          <cell r="H69">
            <v>0.39302125198822002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7.0549091143773173E-4</v>
          </cell>
        </row>
      </sheetData>
      <sheetData sheetId="67">
        <row r="5">
          <cell r="F5">
            <v>5.3298562983814738E-4</v>
          </cell>
          <cell r="G5">
            <v>5.8120140522592515E-3</v>
          </cell>
          <cell r="H5">
            <v>0.15843451128203634</v>
          </cell>
        </row>
        <row r="12">
          <cell r="F12">
            <v>2.8677779955654683E-4</v>
          </cell>
          <cell r="G12">
            <v>3.6650755499170826E-4</v>
          </cell>
          <cell r="H12">
            <v>5.1475967422419139E-4</v>
          </cell>
        </row>
        <row r="19">
          <cell r="F19">
            <v>4.3847714838416545</v>
          </cell>
          <cell r="G19">
            <v>6.070031068482626</v>
          </cell>
          <cell r="H19">
            <v>6.5778941084580129</v>
          </cell>
        </row>
        <row r="20">
          <cell r="F20">
            <v>7.6886772642684678</v>
          </cell>
          <cell r="G20">
            <v>8.5092968040217585</v>
          </cell>
          <cell r="H20">
            <v>9.9632492366980951</v>
          </cell>
        </row>
        <row r="21">
          <cell r="F21">
            <v>8.732284117430138E-4</v>
          </cell>
          <cell r="G21">
            <v>6.0161337162285413</v>
          </cell>
          <cell r="H21">
            <v>6.0161559033594525</v>
          </cell>
        </row>
        <row r="28">
          <cell r="F28">
            <v>7.4274115587610519</v>
          </cell>
          <cell r="G28">
            <v>26.395887605054511</v>
          </cell>
          <cell r="H28">
            <v>33.489656325613282</v>
          </cell>
        </row>
        <row r="29">
          <cell r="F29">
            <v>0</v>
          </cell>
          <cell r="G29">
            <v>0</v>
          </cell>
          <cell r="H29">
            <v>2.2920524171772267E-4</v>
          </cell>
        </row>
        <row r="30">
          <cell r="F30">
            <v>0</v>
          </cell>
          <cell r="G30">
            <v>0</v>
          </cell>
          <cell r="H30">
            <v>2.7869449627989198E-4</v>
          </cell>
        </row>
        <row r="31">
          <cell r="F31">
            <v>1.4923745943551816</v>
          </cell>
          <cell r="G31">
            <v>1.5725063014673428</v>
          </cell>
          <cell r="H31">
            <v>1.5427422486026849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4.3033635783296775</v>
          </cell>
          <cell r="G38">
            <v>11.545913092406241</v>
          </cell>
          <cell r="H38">
            <v>12.645711547427705</v>
          </cell>
        </row>
        <row r="39">
          <cell r="F39">
            <v>3.9274671311010505</v>
          </cell>
          <cell r="G39">
            <v>10.537383919249441</v>
          </cell>
          <cell r="H39">
            <v>11.541115582705356</v>
          </cell>
        </row>
      </sheetData>
      <sheetData sheetId="68">
        <row r="3">
          <cell r="F3">
            <v>55.237470175344392</v>
          </cell>
          <cell r="G3">
            <v>55.912586943384262</v>
          </cell>
          <cell r="H3">
            <v>57.755735601158285</v>
          </cell>
        </row>
        <row r="6">
          <cell r="F6">
            <v>4.5222959174853745</v>
          </cell>
          <cell r="G6">
            <v>17.06531968693249</v>
          </cell>
          <cell r="H6">
            <v>17.542459341651252</v>
          </cell>
        </row>
        <row r="11">
          <cell r="F11">
            <v>71.587753930641753</v>
          </cell>
          <cell r="G11">
            <v>68.796718782583724</v>
          </cell>
          <cell r="H11">
            <v>72.960545367344665</v>
          </cell>
        </row>
        <row r="18">
          <cell r="F18">
            <v>4.6511613424303957E-3</v>
          </cell>
          <cell r="G18">
            <v>5.0060000689233861E-4</v>
          </cell>
          <cell r="H18">
            <v>8.3094897354097788E-6</v>
          </cell>
        </row>
        <row r="19">
          <cell r="F19">
            <v>15.37629760004682</v>
          </cell>
          <cell r="G19">
            <v>15.088816506287166</v>
          </cell>
          <cell r="H19">
            <v>19.028474533882296</v>
          </cell>
        </row>
        <row r="21">
          <cell r="F21">
            <v>10.757857604867111</v>
          </cell>
          <cell r="G21">
            <v>8.4102890758587172</v>
          </cell>
          <cell r="H21">
            <v>5.4000052046021674</v>
          </cell>
        </row>
        <row r="22">
          <cell r="F22">
            <v>1.4396318767165821</v>
          </cell>
          <cell r="G22">
            <v>1.4015561220606163</v>
          </cell>
          <cell r="H22">
            <v>0.90942379760176173</v>
          </cell>
        </row>
        <row r="23">
          <cell r="F23">
            <v>9.1365998952243999</v>
          </cell>
          <cell r="G23">
            <v>9.9494258327019711</v>
          </cell>
          <cell r="H23">
            <v>9.7813851255157562</v>
          </cell>
        </row>
        <row r="24">
          <cell r="F24">
            <v>5.8402616456569945</v>
          </cell>
          <cell r="G24">
            <v>6.7179257631772176</v>
          </cell>
          <cell r="H24">
            <v>9.3944457024717174</v>
          </cell>
        </row>
        <row r="33">
          <cell r="F33">
            <v>17.140807437606902</v>
          </cell>
          <cell r="G33">
            <v>17.431359720286764</v>
          </cell>
          <cell r="H33">
            <v>18.341340470230932</v>
          </cell>
        </row>
        <row r="34">
          <cell r="F34">
            <v>5.0362817098297841</v>
          </cell>
          <cell r="G34">
            <v>3.0055390648422011</v>
          </cell>
          <cell r="H34">
            <v>1.2298135976118013E-5</v>
          </cell>
        </row>
        <row r="35">
          <cell r="F35">
            <v>6.9963307466474464E-3</v>
          </cell>
          <cell r="G35">
            <v>4.8562552711252805E-4</v>
          </cell>
          <cell r="H35">
            <v>0</v>
          </cell>
        </row>
        <row r="36">
          <cell r="F36">
            <v>1.8062381929167416E-2</v>
          </cell>
          <cell r="G36">
            <v>2.0335302324245009E-2</v>
          </cell>
          <cell r="H36">
            <v>0.23117666102726742</v>
          </cell>
        </row>
        <row r="37">
          <cell r="F37">
            <v>8.6675313654586024</v>
          </cell>
          <cell r="G37">
            <v>3.0695249173124042</v>
          </cell>
          <cell r="H37">
            <v>0.44858678229359261</v>
          </cell>
        </row>
        <row r="38">
          <cell r="F38">
            <v>2.0193825606772955</v>
          </cell>
          <cell r="G38">
            <v>2.1535750501508053</v>
          </cell>
          <cell r="H38">
            <v>0.71103629402737589</v>
          </cell>
        </row>
        <row r="39">
          <cell r="F39">
            <v>4.8681619302230734</v>
          </cell>
          <cell r="G39">
            <v>4.8681669800652738</v>
          </cell>
          <cell r="H39">
            <v>5.7920289942451166</v>
          </cell>
        </row>
        <row r="55">
          <cell r="F55">
            <v>12.320402433223244</v>
          </cell>
          <cell r="G55">
            <v>12.3203997160689</v>
          </cell>
          <cell r="H55">
            <v>12.3203980755295</v>
          </cell>
        </row>
        <row r="56">
          <cell r="F56">
            <v>8.4147206528413427</v>
          </cell>
          <cell r="G56">
            <v>9.6033902836675296</v>
          </cell>
          <cell r="H56">
            <v>13.228701738066375</v>
          </cell>
        </row>
        <row r="57">
          <cell r="F57">
            <v>3.9772395233839131</v>
          </cell>
          <cell r="G57">
            <v>2.3905607753034745</v>
          </cell>
          <cell r="H57">
            <v>0.18410234165341888</v>
          </cell>
        </row>
        <row r="58">
          <cell r="F58">
            <v>4.8838761318315826E-3</v>
          </cell>
          <cell r="G58">
            <v>3.4254810618699911E-4</v>
          </cell>
          <cell r="H58">
            <v>0</v>
          </cell>
        </row>
        <row r="59">
          <cell r="F59">
            <v>8.8707237358282125</v>
          </cell>
          <cell r="G59">
            <v>4.3713211186348371</v>
          </cell>
          <cell r="H59">
            <v>0.97431295585349553</v>
          </cell>
        </row>
        <row r="60">
          <cell r="F60">
            <v>5.4428437596038539E-3</v>
          </cell>
          <cell r="G60">
            <v>2.8551594551179836E-3</v>
          </cell>
          <cell r="H60">
            <v>1.711206315847854E-3</v>
          </cell>
        </row>
        <row r="61">
          <cell r="F61">
            <v>3.1279060027844426E-3</v>
          </cell>
          <cell r="G61">
            <v>3.3790500465232849E-4</v>
          </cell>
          <cell r="H61">
            <v>5.6504530200786536E-6</v>
          </cell>
        </row>
        <row r="62">
          <cell r="F62">
            <v>7.2773337986107558</v>
          </cell>
          <cell r="G62">
            <v>7.0555465855267023</v>
          </cell>
          <cell r="H62">
            <v>9.4717791777582825</v>
          </cell>
        </row>
        <row r="63">
          <cell r="F63">
            <v>7.1660380905458121</v>
          </cell>
          <cell r="G63">
            <v>7.2036071251881797</v>
          </cell>
          <cell r="H63">
            <v>7.9393972902528303</v>
          </cell>
        </row>
        <row r="64">
          <cell r="F64">
            <v>7.5390645204821665</v>
          </cell>
          <cell r="G64">
            <v>5.2750277567885453</v>
          </cell>
          <cell r="H64">
            <v>6.3994435721882486</v>
          </cell>
        </row>
        <row r="65">
          <cell r="F65">
            <v>0.54706651109913529</v>
          </cell>
          <cell r="G65">
            <v>0.54706859873063129</v>
          </cell>
          <cell r="H65">
            <v>0.54709585245556791</v>
          </cell>
        </row>
        <row r="66">
          <cell r="F66">
            <v>5.6801488153698356</v>
          </cell>
          <cell r="G66">
            <v>4.4406326320534033</v>
          </cell>
          <cell r="H66">
            <v>2.9376028313035794</v>
          </cell>
        </row>
        <row r="67">
          <cell r="F67">
            <v>1.4396318767165821</v>
          </cell>
          <cell r="G67">
            <v>1.4015561220606163</v>
          </cell>
          <cell r="H67">
            <v>0.90942379760176173</v>
          </cell>
        </row>
        <row r="68">
          <cell r="F68">
            <v>3.4612631323886056</v>
          </cell>
          <cell r="G68">
            <v>3.4612667228264078</v>
          </cell>
          <cell r="H68">
            <v>4.1702608758564823</v>
          </cell>
        </row>
        <row r="69">
          <cell r="F69">
            <v>7.1585195958162542</v>
          </cell>
          <cell r="G69">
            <v>7.9138759188264398</v>
          </cell>
          <cell r="H69">
            <v>7.9138654606646135</v>
          </cell>
        </row>
        <row r="70">
          <cell r="F70">
            <v>3.7319234735572029</v>
          </cell>
          <cell r="G70">
            <v>12.517704697005064</v>
          </cell>
          <cell r="H70">
            <v>12.589979220244942</v>
          </cell>
        </row>
        <row r="71">
          <cell r="F71">
            <v>77.597530785757272</v>
          </cell>
          <cell r="G71">
            <v>78.505493665246689</v>
          </cell>
          <cell r="H71">
            <v>79.588080046197959</v>
          </cell>
        </row>
      </sheetData>
      <sheetData sheetId="69">
        <row r="3">
          <cell r="F3">
            <v>56.007008114081231</v>
          </cell>
          <cell r="G3">
            <v>55.853278310930904</v>
          </cell>
          <cell r="H3">
            <v>55.267563923315961</v>
          </cell>
        </row>
        <row r="6">
          <cell r="F6">
            <v>6.9890356866954368</v>
          </cell>
          <cell r="G6">
            <v>9.1932637057821882</v>
          </cell>
          <cell r="H6">
            <v>13.897388329936074</v>
          </cell>
        </row>
        <row r="11">
          <cell r="F11">
            <v>60.029967986723356</v>
          </cell>
          <cell r="G11">
            <v>60.765611425755807</v>
          </cell>
          <cell r="H11">
            <v>60.532012160130009</v>
          </cell>
        </row>
        <row r="12">
          <cell r="F12">
            <v>11.775249209055476</v>
          </cell>
          <cell r="G12">
            <v>6.7863785666066043</v>
          </cell>
          <cell r="H12">
            <v>1.3149924867655738E-5</v>
          </cell>
        </row>
        <row r="13">
          <cell r="F13">
            <v>1.3273206744572833E-3</v>
          </cell>
          <cell r="G13">
            <v>9.4711940798023983E-4</v>
          </cell>
          <cell r="H13">
            <v>1.2797320126471468</v>
          </cell>
        </row>
        <row r="14">
          <cell r="F14">
            <v>14.873874307597401</v>
          </cell>
          <cell r="G14">
            <v>8.679631182024945</v>
          </cell>
          <cell r="H14">
            <v>4.1720758179055153</v>
          </cell>
        </row>
        <row r="15">
          <cell r="F15">
            <v>0.61256054049353714</v>
          </cell>
          <cell r="G15">
            <v>2.4995568964299202</v>
          </cell>
          <cell r="H15">
            <v>3.0920908774947105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8.4069761723008423</v>
          </cell>
          <cell r="G17">
            <v>9.3340384082878813</v>
          </cell>
          <cell r="H17">
            <v>9.1278584853809015</v>
          </cell>
        </row>
        <row r="19">
          <cell r="F19">
            <v>0.66784321830606108</v>
          </cell>
          <cell r="G19">
            <v>0.7508369473269777</v>
          </cell>
          <cell r="H19">
            <v>0.80491151836887531</v>
          </cell>
        </row>
        <row r="20">
          <cell r="F20">
            <v>3.4177897712801353E-3</v>
          </cell>
          <cell r="G20">
            <v>4.9526996244733945E-3</v>
          </cell>
          <cell r="H20">
            <v>4.1892384855047784E-3</v>
          </cell>
        </row>
        <row r="21">
          <cell r="F21">
            <v>12.750665394596194</v>
          </cell>
          <cell r="G21">
            <v>17.256428096675467</v>
          </cell>
          <cell r="H21">
            <v>20.599545483176133</v>
          </cell>
        </row>
        <row r="28">
          <cell r="F28">
            <v>4.0229598726421258</v>
          </cell>
          <cell r="G28">
            <v>4.9123331148249081</v>
          </cell>
          <cell r="H28">
            <v>5.2644482368140508</v>
          </cell>
        </row>
        <row r="47">
          <cell r="F47">
            <v>11.741325668654406</v>
          </cell>
          <cell r="G47">
            <v>15.9047213908665</v>
          </cell>
          <cell r="H47">
            <v>18.990387926639492</v>
          </cell>
        </row>
        <row r="48">
          <cell r="F48">
            <v>9.6421526579787891</v>
          </cell>
          <cell r="G48">
            <v>5.5571693725047178</v>
          </cell>
          <cell r="H48">
            <v>1.0478001131889401</v>
          </cell>
        </row>
        <row r="49">
          <cell r="F49">
            <v>9.7587058941971989</v>
          </cell>
          <cell r="G49">
            <v>5.1721971598408247</v>
          </cell>
          <cell r="H49">
            <v>1.9549114450882943</v>
          </cell>
        </row>
        <row r="50">
          <cell r="F50">
            <v>8.7284521292246176</v>
          </cell>
          <cell r="G50">
            <v>11.039955353712216</v>
          </cell>
          <cell r="H50">
            <v>11.568503099414297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6.9330345392225912</v>
          </cell>
          <cell r="G52">
            <v>7.6975608528909705</v>
          </cell>
          <cell r="H52">
            <v>7.5275291438065475</v>
          </cell>
        </row>
        <row r="53">
          <cell r="F53">
            <v>5.7149439000447169</v>
          </cell>
          <cell r="G53">
            <v>4.8089301252332364</v>
          </cell>
          <cell r="H53">
            <v>3.3421981580189004</v>
          </cell>
        </row>
        <row r="54">
          <cell r="F54">
            <v>0.54488833848819096</v>
          </cell>
          <cell r="G54">
            <v>0.70248432862311583</v>
          </cell>
          <cell r="H54">
            <v>0.73934833048218818</v>
          </cell>
        </row>
        <row r="55">
          <cell r="F55">
            <v>0.66784321830606108</v>
          </cell>
          <cell r="G55">
            <v>0.7508369473269777</v>
          </cell>
          <cell r="H55">
            <v>0.80491151836887531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6.9890356866954368</v>
          </cell>
          <cell r="G58">
            <v>9.1932637057821882</v>
          </cell>
          <cell r="H58">
            <v>13.897388329936074</v>
          </cell>
        </row>
        <row r="59">
          <cell r="F59">
            <v>60.988875044546582</v>
          </cell>
          <cell r="G59">
            <v>61.051560591110089</v>
          </cell>
          <cell r="H59">
            <v>60.041800786653042</v>
          </cell>
        </row>
      </sheetData>
      <sheetData sheetId="70">
        <row r="3">
          <cell r="F3">
            <v>51.644048066685841</v>
          </cell>
          <cell r="G3">
            <v>50.501512929368332</v>
          </cell>
          <cell r="H3">
            <v>47.302479508804154</v>
          </cell>
        </row>
        <row r="10">
          <cell r="F10">
            <v>15.549924574346456</v>
          </cell>
          <cell r="G10">
            <v>20.254899371578961</v>
          </cell>
          <cell r="H10">
            <v>30.406333429484334</v>
          </cell>
        </row>
        <row r="15">
          <cell r="F15">
            <v>74.729978909393665</v>
          </cell>
          <cell r="G15">
            <v>75.511714062997243</v>
          </cell>
          <cell r="H15">
            <v>71.236581783904967</v>
          </cell>
        </row>
        <row r="16">
          <cell r="F16">
            <v>16.16030073693975</v>
          </cell>
          <cell r="G16">
            <v>6.8662592889481546</v>
          </cell>
          <cell r="H16">
            <v>1.6670377680055797E-5</v>
          </cell>
        </row>
        <row r="17">
          <cell r="F17">
            <v>1.3290091800282056E-3</v>
          </cell>
          <cell r="G17">
            <v>9.4966026978086948E-4</v>
          </cell>
          <cell r="H17">
            <v>1.0722722873084982</v>
          </cell>
        </row>
        <row r="18">
          <cell r="F18">
            <v>30.248671202112035</v>
          </cell>
          <cell r="G18">
            <v>17.242081286542394</v>
          </cell>
          <cell r="H18">
            <v>10.070070842947406</v>
          </cell>
        </row>
        <row r="19">
          <cell r="F19">
            <v>0.86080799233132133</v>
          </cell>
          <cell r="G19">
            <v>5.5628938188914505</v>
          </cell>
          <cell r="H19">
            <v>5.874276922440048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12.162311925215169</v>
          </cell>
          <cell r="G21">
            <v>13.354831872395454</v>
          </cell>
          <cell r="H21">
            <v>13.404689206501402</v>
          </cell>
        </row>
        <row r="22">
          <cell r="F22">
            <v>13.716184465841126</v>
          </cell>
          <cell r="G22">
            <v>11.749706967963633</v>
          </cell>
          <cell r="H22">
            <v>7.3093843381983783</v>
          </cell>
        </row>
        <row r="23">
          <cell r="F23">
            <v>1.1799032717922744</v>
          </cell>
          <cell r="G23">
            <v>1.2964400627388655</v>
          </cell>
          <cell r="H23">
            <v>1.3292979780928655</v>
          </cell>
        </row>
        <row r="24">
          <cell r="F24">
            <v>7.0425429415018632E-3</v>
          </cell>
          <cell r="G24">
            <v>1.3860382651636803E-2</v>
          </cell>
          <cell r="H24">
            <v>1.5830384548698419E-2</v>
          </cell>
        </row>
        <row r="25">
          <cell r="F25">
            <v>52.630598025323025</v>
          </cell>
          <cell r="G25">
            <v>63.883870208115326</v>
          </cell>
          <cell r="H25">
            <v>70.048797939653738</v>
          </cell>
        </row>
        <row r="26">
          <cell r="F26">
            <v>201.69712808106991</v>
          </cell>
          <cell r="G26">
            <v>195.48260761151394</v>
          </cell>
          <cell r="H26">
            <v>180.36121835397367</v>
          </cell>
        </row>
        <row r="102">
          <cell r="F102">
            <v>3.15010512311295E-2</v>
          </cell>
          <cell r="G102">
            <v>2.0286410358672274E-2</v>
          </cell>
          <cell r="H102">
            <v>1.8601367397257103E-2</v>
          </cell>
        </row>
        <row r="104">
          <cell r="F104">
            <v>49.098500990494337</v>
          </cell>
          <cell r="G104">
            <v>56.351531902559216</v>
          </cell>
          <cell r="H104">
            <v>57.397232127032872</v>
          </cell>
        </row>
        <row r="105">
          <cell r="F105">
            <v>11.620421513595062</v>
          </cell>
          <cell r="G105">
            <v>4.6022445489740296</v>
          </cell>
          <cell r="H105">
            <v>0.70988202273863876</v>
          </cell>
        </row>
        <row r="106">
          <cell r="F106">
            <v>14.707780335734132</v>
          </cell>
          <cell r="G106">
            <v>6.4371587888585955</v>
          </cell>
          <cell r="H106">
            <v>2.4875066541890276</v>
          </cell>
        </row>
        <row r="107">
          <cell r="F107">
            <v>17.567484502441026</v>
          </cell>
          <cell r="G107">
            <v>21.205480597935008</v>
          </cell>
          <cell r="H107">
            <v>20.129521652970539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8.0509088782381575</v>
          </cell>
          <cell r="G110">
            <v>8.6211469944055796</v>
          </cell>
          <cell r="H110">
            <v>8.2473736248285565</v>
          </cell>
        </row>
        <row r="111">
          <cell r="F111">
            <v>7.6290559754493952</v>
          </cell>
          <cell r="G111">
            <v>6.2877362351944912</v>
          </cell>
          <cell r="H111">
            <v>3.6693912915351641</v>
          </cell>
        </row>
        <row r="112">
          <cell r="F112">
            <v>0.41904635133409424</v>
          </cell>
          <cell r="G112">
            <v>0.44632869065261194</v>
          </cell>
          <cell r="H112">
            <v>0.37793664848795677</v>
          </cell>
        </row>
        <row r="113">
          <cell r="F113">
            <v>3.4719238862404786E-2</v>
          </cell>
          <cell r="G113">
            <v>3.3870577684829789E-2</v>
          </cell>
          <cell r="H113">
            <v>3.0358684231225366E-2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124.70934341172619</v>
          </cell>
          <cell r="G116">
            <v>124.26068411820197</v>
          </cell>
          <cell r="H116">
            <v>123.47413750289557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26.10394320012529</v>
          </cell>
          <cell r="G224">
            <v>29.619535078269845</v>
          </cell>
          <cell r="H224">
            <v>32.43540156630533</v>
          </cell>
        </row>
        <row r="231">
          <cell r="F231">
            <v>2.1131624432538252</v>
          </cell>
          <cell r="G231">
            <v>1.9999483183983959</v>
          </cell>
          <cell r="H231">
            <v>1.7970532096269951</v>
          </cell>
        </row>
        <row r="233">
          <cell r="F233">
            <v>59.796866606373115</v>
          </cell>
          <cell r="G233">
            <v>70.1980319351768</v>
          </cell>
          <cell r="H233">
            <v>74.680456655617206</v>
          </cell>
        </row>
        <row r="234">
          <cell r="F234">
            <v>13.174339290950524</v>
          </cell>
          <cell r="G234">
            <v>5.4954432719430111</v>
          </cell>
          <cell r="H234">
            <v>0.86109581324883233</v>
          </cell>
        </row>
        <row r="235">
          <cell r="F235">
            <v>17.14687500892062</v>
          </cell>
          <cell r="G235">
            <v>7.9374807977541746</v>
          </cell>
          <cell r="H235">
            <v>3.192948210899055</v>
          </cell>
        </row>
        <row r="236">
          <cell r="F236">
            <v>22.732127655853503</v>
          </cell>
          <cell r="G236">
            <v>28.010136498752733</v>
          </cell>
          <cell r="H236">
            <v>27.919619630145569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9.8434867042773906</v>
          </cell>
          <cell r="G239">
            <v>10.757412995546357</v>
          </cell>
          <cell r="H239">
            <v>10.712210676254912</v>
          </cell>
        </row>
        <row r="240">
          <cell r="F240">
            <v>8.7355062523387197</v>
          </cell>
          <cell r="G240">
            <v>7.3414572795769901</v>
          </cell>
          <cell r="H240">
            <v>4.4816761390447368</v>
          </cell>
        </row>
        <row r="241">
          <cell r="F241">
            <v>0.54109480374505858</v>
          </cell>
          <cell r="G241">
            <v>0.58896866500555245</v>
          </cell>
          <cell r="H241">
            <v>0.52884732678638302</v>
          </cell>
        </row>
        <row r="242">
          <cell r="F242">
            <v>1.1799032717922744</v>
          </cell>
          <cell r="G242">
            <v>1.2964400627388655</v>
          </cell>
          <cell r="H242">
            <v>1.3292979780928655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15.549924574346456</v>
          </cell>
          <cell r="G244">
            <v>20.254899371578961</v>
          </cell>
          <cell r="H244">
            <v>30.406333429484334</v>
          </cell>
        </row>
        <row r="245">
          <cell r="F245">
            <v>150.81328661185151</v>
          </cell>
          <cell r="G245">
            <v>153.88021919647187</v>
          </cell>
          <cell r="H245">
            <v>155.90953906920089</v>
          </cell>
        </row>
      </sheetData>
      <sheetData sheetId="71">
        <row r="21">
          <cell r="F21">
            <v>16.643641822423845</v>
          </cell>
          <cell r="G21">
            <v>3.3774642455975399</v>
          </cell>
          <cell r="H21">
            <v>0.73146288401559822</v>
          </cell>
        </row>
        <row r="22">
          <cell r="F22">
            <v>31.507386314409647</v>
          </cell>
          <cell r="G22">
            <v>15.682312884335619</v>
          </cell>
          <cell r="H22">
            <v>1.430927527680329</v>
          </cell>
        </row>
        <row r="23">
          <cell r="F23">
            <v>2.5465192361897109</v>
          </cell>
          <cell r="G23">
            <v>2.1176865672157339</v>
          </cell>
          <cell r="H23">
            <v>-6.4167697200190332E-6</v>
          </cell>
        </row>
        <row r="24">
          <cell r="F24">
            <v>6.3460756023222625E-2</v>
          </cell>
          <cell r="G24">
            <v>2.0512411066464283E-2</v>
          </cell>
          <cell r="H24">
            <v>1.1956099107671033E-3</v>
          </cell>
        </row>
        <row r="25">
          <cell r="F25">
            <v>1.5589716323408604</v>
          </cell>
          <cell r="G25">
            <v>2.822121317662647</v>
          </cell>
          <cell r="H25">
            <v>7.0692905784841206E-2</v>
          </cell>
        </row>
        <row r="26">
          <cell r="F26">
            <v>2.9733334868857368</v>
          </cell>
          <cell r="G26">
            <v>2.9737960759797422</v>
          </cell>
          <cell r="H26">
            <v>1.622199892488235</v>
          </cell>
        </row>
        <row r="27">
          <cell r="F27">
            <v>1.7005771838037823E-2</v>
          </cell>
          <cell r="G27">
            <v>1.0320231949200759E-2</v>
          </cell>
          <cell r="H27">
            <v>1.1972648511478273E-3</v>
          </cell>
        </row>
        <row r="28">
          <cell r="F28">
            <v>3.9723646996192097E-3</v>
          </cell>
          <cell r="G28">
            <v>2.9468270854858601E-3</v>
          </cell>
          <cell r="H28">
            <v>1.6907816044828201</v>
          </cell>
        </row>
        <row r="32">
          <cell r="F32">
            <v>0.28389928025259697</v>
          </cell>
          <cell r="G32">
            <v>1.6512095606117636</v>
          </cell>
          <cell r="H32">
            <v>1.7497995653649496</v>
          </cell>
        </row>
      </sheetData>
      <sheetData sheetId="72">
        <row r="11">
          <cell r="F11">
            <v>70.135734863422954</v>
          </cell>
          <cell r="G11">
            <v>52.509709067314972</v>
          </cell>
          <cell r="H11">
            <v>0</v>
          </cell>
        </row>
        <row r="12">
          <cell r="F12">
            <v>17.533933855306078</v>
          </cell>
          <cell r="G12">
            <v>29.806792722633499</v>
          </cell>
          <cell r="H12">
            <v>80.055584495885881</v>
          </cell>
        </row>
        <row r="13">
          <cell r="F13">
            <v>2.3735355816539001E-4</v>
          </cell>
          <cell r="G13">
            <v>5.0184925955591181E-2</v>
          </cell>
          <cell r="H13">
            <v>4.9953559716746004E-2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2.242207289816025</v>
          </cell>
          <cell r="G53">
            <v>2.4613685803196312</v>
          </cell>
          <cell r="H53">
            <v>2.5529447787785426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4.1010439592083108</v>
          </cell>
          <cell r="G55">
            <v>3.5717935448465479</v>
          </cell>
          <cell r="H55">
            <v>3.1380781428848961</v>
          </cell>
        </row>
        <row r="56">
          <cell r="F56">
            <v>1.725618745454462</v>
          </cell>
          <cell r="G56">
            <v>1.000142637243352</v>
          </cell>
          <cell r="H56">
            <v>0.23620316578175687</v>
          </cell>
        </row>
        <row r="57">
          <cell r="F57">
            <v>2.9287486167900503</v>
          </cell>
          <cell r="G57">
            <v>1.4917081736076971</v>
          </cell>
          <cell r="H57">
            <v>0.57033976634784256</v>
          </cell>
        </row>
        <row r="58">
          <cell r="F58">
            <v>3.7823242589387691</v>
          </cell>
          <cell r="G58">
            <v>1.5772888620162293</v>
          </cell>
          <cell r="H58">
            <v>0.16131231150627867</v>
          </cell>
        </row>
        <row r="59">
          <cell r="F59">
            <v>0</v>
          </cell>
          <cell r="G59">
            <v>-1.2851774814218468</v>
          </cell>
          <cell r="H59">
            <v>-5.0302369140447567</v>
          </cell>
        </row>
        <row r="60">
          <cell r="F60">
            <v>0</v>
          </cell>
          <cell r="G60">
            <v>-0.32061703889375898</v>
          </cell>
          <cell r="H60">
            <v>-1.628588986507306</v>
          </cell>
        </row>
        <row r="61">
          <cell r="F61">
            <v>0</v>
          </cell>
          <cell r="G61">
            <v>0</v>
          </cell>
          <cell r="H61">
            <v>-2.0274418746761529E-5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-8.7021597576200382E-6</v>
          </cell>
          <cell r="H63">
            <v>-2.9823172007815505E-5</v>
          </cell>
        </row>
        <row r="77">
          <cell r="B77">
            <v>0</v>
          </cell>
          <cell r="C77">
            <v>3.4615395456377325</v>
          </cell>
        </row>
        <row r="78">
          <cell r="B78">
            <v>0</v>
          </cell>
          <cell r="C78">
            <v>1.0555782244319676</v>
          </cell>
        </row>
        <row r="79">
          <cell r="B79">
            <v>0</v>
          </cell>
          <cell r="C79">
            <v>2.1416979769324085</v>
          </cell>
        </row>
      </sheetData>
      <sheetData sheetId="75">
        <row r="99">
          <cell r="J99">
            <v>13.275899398814069</v>
          </cell>
          <cell r="K99">
            <v>7.4309287286200671</v>
          </cell>
          <cell r="L99">
            <v>2.0425493355467919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301.55156848449508</v>
      </c>
      <c r="G2" s="3">
        <f t="shared" ref="G2:K2" si="0">G3+G8+G11+G12+G16+G17+G18+G19</f>
        <v>298.76897526775628</v>
      </c>
      <c r="H2" s="3">
        <f t="shared" si="0"/>
        <v>338.20472514871244</v>
      </c>
      <c r="I2" s="3">
        <f t="shared" si="0"/>
        <v>444.85985993495387</v>
      </c>
      <c r="J2" s="3">
        <f t="shared" si="0"/>
        <v>434.69204042489844</v>
      </c>
      <c r="K2" s="3">
        <f t="shared" si="0"/>
        <v>554.38619095621709</v>
      </c>
      <c r="L2" s="3">
        <f t="shared" ref="L2" si="1">L3+L8+L11+L12+L16+L17+L18+L19</f>
        <v>651.94454255631342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46.334115216000257</v>
      </c>
      <c r="G3" s="1">
        <f t="shared" ref="G3:K3" si="4">SUM(G4:G7)</f>
        <v>50.490587884073356</v>
      </c>
      <c r="H3" s="1">
        <f t="shared" si="4"/>
        <v>53.544916746486351</v>
      </c>
      <c r="I3" s="1">
        <f t="shared" si="4"/>
        <v>53.546451685739477</v>
      </c>
      <c r="J3" s="1">
        <f t="shared" si="4"/>
        <v>53.482439355325255</v>
      </c>
      <c r="K3" s="1">
        <f t="shared" si="4"/>
        <v>56.302273543907553</v>
      </c>
      <c r="L3" s="1">
        <f t="shared" ref="L3" si="5">SUM(L4:L7)</f>
        <v>56.302288959620626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11.111976141568594</v>
      </c>
      <c r="G4" s="1" cm="1">
        <f t="array" ref="G4">SUMPRODUCT(("RNWWOD1"=[1]OUT_PrimaryEnergyCons!$A$1:$A$1000)*1,[1]OUT_PrimaryEnergyCons!E$1:E$1000)</f>
        <v>11.952923578006255</v>
      </c>
      <c r="H4" s="1" cm="1">
        <f t="array" ref="H4">SUMPRODUCT(("RNWWOD1"=[1]OUT_PrimaryEnergyCons!$A$1:$A$1000)*1,[1]OUT_PrimaryEnergyCons!F$1:F$1000)</f>
        <v>13.357213022457403</v>
      </c>
      <c r="I4" s="1" cm="1">
        <f t="array" ref="I4">SUMPRODUCT(("RNWWOD1"=[1]OUT_PrimaryEnergyCons!$A$1:$A$1000)*1,[1]OUT_PrimaryEnergyCons!G$1:G$1000)</f>
        <v>15.656186912610261</v>
      </c>
      <c r="J4" s="1" cm="1">
        <f t="array" ref="J4">SUMPRODUCT(("RNWWOD1"=[2]OUT_PrimaryEnergyCons!$A$1:$A$1000)*1,[2]OUT_PrimaryEnergyCons!H$1:H$1000)</f>
        <v>16.424570371013104</v>
      </c>
      <c r="K4" s="1" cm="1">
        <f t="array" ref="K4">SUMPRODUCT(("RNWWOD1"=[2]OUT_PrimaryEnergyCons!$A$1:$A$1000)*1,[2]OUT_PrimaryEnergyCons!I$1:I$1000)</f>
        <v>17.113644049677017</v>
      </c>
      <c r="L4" s="1" cm="1">
        <f t="array" ref="L4">SUMPRODUCT(("RNWWOD1"=[2]OUT_PrimaryEnergyCons!$A$1:$A$1000)*1,[2]OUT_PrimaryEnergyCons!J$1:J$1000)</f>
        <v>18.429673853363411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7.5117708343997647</v>
      </c>
      <c r="G5" s="1" cm="1">
        <f t="array" ref="G5">SUMPRODUCT(("RNWWOD2"=[1]OUT_PrimaryEnergyCons!$A$1:$A$1000)*1,[1]OUT_PrimaryEnergyCons!E$1:E$1000)</f>
        <v>7.5431833211157198</v>
      </c>
      <c r="H5" s="1" cm="1">
        <f t="array" ref="H5">SUMPRODUCT(("RNWWOD2"=[1]OUT_PrimaryEnergyCons!$A$1:$A$1000)*1,[1]OUT_PrimaryEnergyCons!F$1:F$1000)</f>
        <v>7.5903684650464012</v>
      </c>
      <c r="I5" s="1" cm="1">
        <f t="array" ref="I5">SUMPRODUCT(("RNWWOD2"=[1]OUT_PrimaryEnergyCons!$A$1:$A$1000)*1,[1]OUT_PrimaryEnergyCons!G$1:G$1000)</f>
        <v>7.6690331077722877</v>
      </c>
      <c r="J5" s="1" cm="1">
        <f t="array" ref="J5">SUMPRODUCT(("RNWWOD2"=[2]OUT_PrimaryEnergyCons!$A$1:$A$1000)*1,[2]OUT_PrimaryEnergyCons!H$1:H$1000)</f>
        <v>7.6690275991777703</v>
      </c>
      <c r="K5" s="1" cm="1">
        <f t="array" ref="K5">SUMPRODUCT(("RNWWOD2"=[2]OUT_PrimaryEnergyCons!$A$1:$A$1000)*1,[2]OUT_PrimaryEnergyCons!I$1:I$1000)</f>
        <v>7.669028643981771</v>
      </c>
      <c r="L5" s="1" cm="1">
        <f t="array" ref="L5">SUMPRODUCT(("RNWWOD2"=[2]OUT_PrimaryEnergyCons!$A$1:$A$1000)*1,[2]OUT_PrimaryEnergyCons!J$1:J$1000)</f>
        <v>7.6690296816807875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3.1683463948340496</v>
      </c>
      <c r="G6" s="1" cm="1">
        <f t="array" ref="G6">SUMPRODUCT(("RNWWOD3"=[1]OUT_PrimaryEnergyCons!$A$1:$A$1000)*1,[1]OUT_PrimaryEnergyCons!E$1:E$1000)</f>
        <v>3.4957144759587795</v>
      </c>
      <c r="H6" s="1" cm="1">
        <f t="array" ref="H6">SUMPRODUCT(("RNWWOD3"=[1]OUT_PrimaryEnergyCons!$A$1:$A$1000)*1,[1]OUT_PrimaryEnergyCons!F$1:F$1000)</f>
        <v>3.9868298124432071</v>
      </c>
      <c r="I6" s="1" cm="1">
        <f t="array" ref="I6">SUMPRODUCT(("RNWWOD3"=[1]OUT_PrimaryEnergyCons!$A$1:$A$1000)*1,[1]OUT_PrimaryEnergyCons!G$1:G$1000)</f>
        <v>4.805389453080994</v>
      </c>
      <c r="J6" s="1" cm="1">
        <f t="array" ref="J6">SUMPRODUCT(("RNWWOD3"=[2]OUT_PrimaryEnergyCons!$A$1:$A$1000)*1,[2]OUT_PrimaryEnergyCons!H$1:H$1000)</f>
        <v>4.8053864134363575</v>
      </c>
      <c r="K6" s="1" cm="1">
        <f t="array" ref="K6">SUMPRODUCT(("RNWWOD3"=[2]OUT_PrimaryEnergyCons!$A$1:$A$1000)*1,[2]OUT_PrimaryEnergyCons!I$1:I$1000)</f>
        <v>4.8053877458874314</v>
      </c>
      <c r="L6" s="1" cm="1">
        <f t="array" ref="L6">SUMPRODUCT(("RNWWOD3"=[2]OUT_PrimaryEnergyCons!$A$1:$A$1000)*1,[2]OUT_PrimaryEnergyCons!J$1:J$1000)</f>
        <v>4.80538666467422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24.542021845197844</v>
      </c>
      <c r="G7" s="1" cm="1">
        <f t="array" ref="G7">SUMPRODUCT(("RNWWOD4"=[1]OUT_PrimaryEnergyCons!$A$1:$A$1000)*1+("RNWWOD5"=[1]OUT_PrimaryEnergyCons!$A$1:$A$1000)*1,[1]OUT_PrimaryEnergyCons!E$1:E$1000)</f>
        <v>27.498766508992603</v>
      </c>
      <c r="H7" s="1" cm="1">
        <f t="array" ref="H7">SUMPRODUCT(("RNWWOD4"=[1]OUT_PrimaryEnergyCons!$A$1:$A$1000)*1+("RNWWOD5"=[1]OUT_PrimaryEnergyCons!$A$1:$A$1000)*1,[1]OUT_PrimaryEnergyCons!F$1:F$1000)</f>
        <v>28.610505446539335</v>
      </c>
      <c r="I7" s="1" cm="1">
        <f t="array" ref="I7">SUMPRODUCT(("RNWWOD4"=[1]OUT_PrimaryEnergyCons!$A$1:$A$1000)*1+("RNWWOD5"=[1]OUT_PrimaryEnergyCons!$A$1:$A$1000)*1,[1]OUT_PrimaryEnergyCons!G$1:G$1000)</f>
        <v>25.415842212275933</v>
      </c>
      <c r="J7" s="1" cm="1">
        <f t="array" ref="J7">SUMPRODUCT(("RNWWOD4"=[2]OUT_PrimaryEnergyCons!$A$1:$A$1000)*1+("RNWWOD5"=[2]OUT_PrimaryEnergyCons!$A$1:$A$1000)*1,[2]OUT_PrimaryEnergyCons!H$1:H$1000)</f>
        <v>24.583454971698021</v>
      </c>
      <c r="K7" s="1" cm="1">
        <f t="array" ref="K7">SUMPRODUCT(("RNWWOD4"=[2]OUT_PrimaryEnergyCons!$A$1:$A$1000)*1+("RNWWOD5"=[2]OUT_PrimaryEnergyCons!$A$1:$A$1000)*1,[2]OUT_PrimaryEnergyCons!I$1:I$1000)</f>
        <v>26.714213104361335</v>
      </c>
      <c r="L7" s="1" cm="1">
        <f t="array" ref="L7">SUMPRODUCT(("RNWWOD4"=[2]OUT_PrimaryEnergyCons!$A$1:$A$1000)*1+("RNWWOD5"=[2]OUT_PrimaryEnergyCons!$A$1:$A$1000)*1,[2]OUT_PrimaryEnergyCons!J$1:J$1000)</f>
        <v>25.398198759902204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70.032086744262159</v>
      </c>
      <c r="G8" s="1">
        <f t="shared" ref="G8:K8" si="9">SUM(G9:G10)</f>
        <v>71.224290096672604</v>
      </c>
      <c r="H8" s="1">
        <f t="shared" si="9"/>
        <v>71.066649647055769</v>
      </c>
      <c r="I8" s="1">
        <f t="shared" si="9"/>
        <v>74.271072997039468</v>
      </c>
      <c r="J8" s="1">
        <f t="shared" si="9"/>
        <v>72.300530688782999</v>
      </c>
      <c r="K8" s="1">
        <f t="shared" si="9"/>
        <v>79.19569908143373</v>
      </c>
      <c r="L8" s="1">
        <f t="shared" ref="L8" si="10">SUM(L9:L10)</f>
        <v>82.747544756099273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35.931415647284581</v>
      </c>
      <c r="G9" s="1" cm="1">
        <f t="array" ref="G9">SUMPRODUCT(("RNNWWST1"=[1]OUT_PrimaryEnergyCons!$A$1:$A$1000)*1,[1]OUT_PrimaryEnergyCons!E$1:E$1000)</f>
        <v>36.121600754240653</v>
      </c>
      <c r="H9" s="1" cm="1">
        <f t="array" ref="H9">SUMPRODUCT(("RNNWWST1"=[1]OUT_PrimaryEnergyCons!$A$1:$A$1000)*1,[1]OUT_PrimaryEnergyCons!F$1:F$1000)</f>
        <v>35.963639011507908</v>
      </c>
      <c r="I9" s="1" cm="1">
        <f t="array" ref="I9">SUMPRODUCT(("RNNWWST1"=[1]OUT_PrimaryEnergyCons!$A$1:$A$1000)*1,[1]OUT_PrimaryEnergyCons!G$1:G$1000)</f>
        <v>37.032765660388442</v>
      </c>
      <c r="J9" s="1" cm="1">
        <f t="array" ref="J9">SUMPRODUCT(("RNNWWST1"=[2]OUT_PrimaryEnergyCons!$A$1:$A$1000)*1,[2]OUT_PrimaryEnergyCons!H$1:H$1000)</f>
        <v>34.937592519263241</v>
      </c>
      <c r="K9" s="1" cm="1">
        <f t="array" ref="K9">SUMPRODUCT(("RNNWWST1"=[2]OUT_PrimaryEnergyCons!$A$1:$A$1000)*1,[2]OUT_PrimaryEnergyCons!I$1:I$1000)</f>
        <v>38.08249021703854</v>
      </c>
      <c r="L9" s="1" cm="1">
        <f t="array" ref="L9">SUMPRODUCT(("RNNWWST1"=[2]OUT_PrimaryEnergyCons!$A$1:$A$1000)*1,[2]OUT_PrimaryEnergyCons!J$1:J$1000)</f>
        <v>38.141195034080624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34.100671096977578</v>
      </c>
      <c r="G10" s="1" cm="1">
        <f t="array" ref="G10">SUMPRODUCT(("RNWWST1"=[1]OUT_PrimaryEnergyCons!$A$1:$A$1000)*1,[1]OUT_PrimaryEnergyCons!E$1:E$1000)</f>
        <v>35.102689342431958</v>
      </c>
      <c r="H10" s="1" cm="1">
        <f t="array" ref="H10">SUMPRODUCT(("RNWWST1"=[1]OUT_PrimaryEnergyCons!$A$1:$A$1000)*1,[1]OUT_PrimaryEnergyCons!F$1:F$1000)</f>
        <v>35.103010635547861</v>
      </c>
      <c r="I10" s="1" cm="1">
        <f t="array" ref="I10">SUMPRODUCT(("RNWWST1"=[1]OUT_PrimaryEnergyCons!$A$1:$A$1000)*1,[1]OUT_PrimaryEnergyCons!G$1:G$1000)</f>
        <v>37.238307336651026</v>
      </c>
      <c r="J10" s="1" cm="1">
        <f t="array" ref="J10">SUMPRODUCT(("RNWWST1"=[2]OUT_PrimaryEnergyCons!$A$1:$A$1000)*1,[2]OUT_PrimaryEnergyCons!H$1:H$1000)</f>
        <v>37.362938169519751</v>
      </c>
      <c r="K10" s="1" cm="1">
        <f t="array" ref="K10">SUMPRODUCT(("RNWWST1"=[2]OUT_PrimaryEnergyCons!$A$1:$A$1000)*1,[2]OUT_PrimaryEnergyCons!I$1:I$1000)</f>
        <v>41.11320886439519</v>
      </c>
      <c r="L10" s="1" cm="1">
        <f t="array" ref="L10">SUMPRODUCT(("RNWWST1"=[2]OUT_PrimaryEnergyCons!$A$1:$A$1000)*1,[2]OUT_PrimaryEnergyCons!J$1:J$1000)</f>
        <v>44.606349722018656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3.7982918878914633</v>
      </c>
      <c r="G11" s="1" cm="1">
        <f t="array" ref="G11">SUMPRODUCT(("mnr"=[1]OUT_PrimaryEnergyCons!$C$1:$C$1000)*1,[1]OUT_PrimaryEnergyCons!E$1:E$1000)</f>
        <v>12.540359083790694</v>
      </c>
      <c r="H11" s="1" cm="1">
        <f t="array" ref="H11">SUMPRODUCT(("mnr"=[1]OUT_PrimaryEnergyCons!$C$1:$C$1000)*1,[1]OUT_PrimaryEnergyCons!F$1:F$1000)</f>
        <v>12.540421416964007</v>
      </c>
      <c r="I11" s="1" cm="1">
        <f t="array" ref="I11">SUMPRODUCT(("mnr"=[1]OUT_PrimaryEnergyCons!$C$1:$C$1000)*1,[1]OUT_PrimaryEnergyCons!G$1:G$1000)</f>
        <v>12.540431121177249</v>
      </c>
      <c r="J11" s="1" cm="1">
        <f t="array" ref="J11">SUMPRODUCT(("mnr"=[2]OUT_PrimaryEnergyCons!$C$1:$C$1000)*1,[2]OUT_PrimaryEnergyCons!H$1:H$1000)</f>
        <v>12.540446443787125</v>
      </c>
      <c r="K11" s="1" cm="1">
        <f t="array" ref="K11">SUMPRODUCT(("mnr"=[2]OUT_PrimaryEnergyCons!$C$1:$C$1000)*1,[2]OUT_PrimaryEnergyCons!I$1:I$1000)</f>
        <v>17.360288855860276</v>
      </c>
      <c r="L11" s="1" cm="1">
        <f t="array" ref="L11">SUMPRODUCT(("mnr"=[2]OUT_PrimaryEnergyCons!$C$1:$C$1000)*1,[2]OUT_PrimaryEnergyCons!J$1:J$1000)</f>
        <v>18.812777150189913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149.43060968985017</v>
      </c>
      <c r="G12" s="1">
        <f t="shared" ref="G12:K12" si="11">SUM(G13:G15)</f>
        <v>125.65124522840297</v>
      </c>
      <c r="H12" s="1">
        <f t="shared" si="11"/>
        <v>137.72924305395776</v>
      </c>
      <c r="I12" s="1">
        <f t="shared" si="11"/>
        <v>191.68914738393363</v>
      </c>
      <c r="J12" s="1">
        <f t="shared" si="11"/>
        <v>152.65341380289209</v>
      </c>
      <c r="K12" s="1">
        <f t="shared" si="11"/>
        <v>155.38621037136974</v>
      </c>
      <c r="L12" s="1">
        <f t="shared" ref="L12" si="12">SUM(L13:L15)</f>
        <v>159.52601022338501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66.745681606063101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49.798777987808691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68.970400584037336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70.970232393460137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72.614680964563476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73.883720214170353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74.836063035420736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66.632430866657671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55.764055694378619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65.677217745587797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64.853740316850036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63.871732700338775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64.430908432464136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67.134967183378762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16.052497217129396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20.088411546215649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3.0816247243326447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55.865174673623464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16.167000137989838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17.071581724735235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17.554980004585513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12.557136404926036</v>
      </c>
      <c r="G16" s="1" cm="1">
        <f t="array" ref="G16">SUMPRODUCT(ISNUMBER(SEARCH("SOL",[1]OUT_PrimaryEnergyCons!$C$1:$C$1000))*1,[1]OUT_PrimaryEnergyCons!E$1:E$1000)</f>
        <v>16.525178250020552</v>
      </c>
      <c r="H16" s="1" cm="1">
        <f t="array" ref="H16">SUMPRODUCT(ISNUMBER(SEARCH("SOL",[1]OUT_PrimaryEnergyCons!$C$1:$C$1000))*1,[1]OUT_PrimaryEnergyCons!F$1:F$1000)</f>
        <v>30.421478522021395</v>
      </c>
      <c r="I16" s="1" cm="1">
        <f t="array" ref="I16">SUMPRODUCT(ISNUMBER(SEARCH("SOL",[1]OUT_PrimaryEnergyCons!$C$1:$C$1000))*1,[1]OUT_PrimaryEnergyCons!G$1:G$1000)</f>
        <v>56.344572823422311</v>
      </c>
      <c r="J16" s="1" cm="1">
        <f t="array" ref="J16">SUMPRODUCT(ISNUMBER(SEARCH("SOL",[2]OUT_PrimaryEnergyCons!$C$1:$C$1000))*1,[2]OUT_PrimaryEnergyCons!H$1:H$1000)</f>
        <v>68.857696295888175</v>
      </c>
      <c r="K16" s="1" cm="1">
        <f t="array" ref="K16">SUMPRODUCT(ISNUMBER(SEARCH("SOL",[2]OUT_PrimaryEnergyCons!$C$1:$C$1000))*1,[2]OUT_PrimaryEnergyCons!I$1:I$1000)</f>
        <v>143.29870718066823</v>
      </c>
      <c r="L16" s="1" cm="1">
        <f t="array" ref="L16">SUMPRODUCT(ISNUMBER(SEARCH("SOL",[2]OUT_PrimaryEnergyCons!$C$1:$C$1000))*1,[2]OUT_PrimaryEnergyCons!J$1:J$1000)</f>
        <v>155.91985444185846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0.52448853879067292</v>
      </c>
      <c r="G17" s="1" cm="1">
        <f t="array" ref="G17">SUMPRODUCT(ISNUMBER(SEARCH("wnd",[1]OUT_PrimaryEnergyCons!$C$1:$C$1000))*1,[1]OUT_PrimaryEnergyCons!E$1:E$1000)</f>
        <v>0.54536871651479635</v>
      </c>
      <c r="H17" s="1" cm="1">
        <f t="array" ref="H17">SUMPRODUCT(ISNUMBER(SEARCH("wnd",[1]OUT_PrimaryEnergyCons!$C$1:$C$1000))*1,[1]OUT_PrimaryEnergyCons!F$1:F$1000)</f>
        <v>0.50324133458982423</v>
      </c>
      <c r="I17" s="1" cm="1">
        <f t="array" ref="I17">SUMPRODUCT(ISNUMBER(SEARCH("wnd",[1]OUT_PrimaryEnergyCons!$C$1:$C$1000))*1,[1]OUT_PrimaryEnergyCons!G$1:G$1000)</f>
        <v>2.0507563360817489</v>
      </c>
      <c r="J17" s="1" cm="1">
        <f t="array" ref="J17">SUMPRODUCT(ISNUMBER(SEARCH("wnd",[2]OUT_PrimaryEnergyCons!$C$1:$C$1000))*1,[2]OUT_PrimaryEnergyCons!H$1:H$1000)</f>
        <v>3.6359887726465985</v>
      </c>
      <c r="K17" s="1" cm="1">
        <f t="array" ref="K17">SUMPRODUCT(ISNUMBER(SEARCH("wnd",[2]OUT_PrimaryEnergyCons!$C$1:$C$1000))*1,[2]OUT_PrimaryEnergyCons!I$1:I$1000)</f>
        <v>7.199416572488949</v>
      </c>
      <c r="L17" s="1" cm="1">
        <f t="array" ref="L17">SUMPRODUCT(ISNUMBER(SEARCH("wnd",[2]OUT_PrimaryEnergyCons!$C$1:$C$1000))*1,[2]OUT_PrimaryEnergyCons!J$1:J$1000)</f>
        <v>28.866731550359184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18.874840002774317</v>
      </c>
      <c r="G18" s="1">
        <f>[1]Overview!C$9-G19</f>
        <v>21.791946008281279</v>
      </c>
      <c r="H18" s="1">
        <f>[1]Overview!D$9-H19</f>
        <v>32.398774427637392</v>
      </c>
      <c r="I18" s="1">
        <f>[1]Overview!E$9-I19</f>
        <v>54.41742758755997</v>
      </c>
      <c r="J18" s="1">
        <f>[2]Overview!F$9-J19</f>
        <v>71.221525065576216</v>
      </c>
      <c r="K18" s="1">
        <f>[2]Overview!G$9-K19</f>
        <v>87.85822406796801</v>
      </c>
      <c r="L18" s="1">
        <f>[2]Overview!H$9-L19</f>
        <v>100.0427891253016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7.7853712825206234</v>
      </c>
      <c r="L19" s="1">
        <f>+[2]Overview!H$28</f>
        <v>49.726546349499358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781.77729874866941</v>
      </c>
      <c r="G20" s="3">
        <f t="shared" si="13"/>
        <v>700.48164129084591</v>
      </c>
      <c r="H20" s="3">
        <f t="shared" si="13"/>
        <v>650.19265407962757</v>
      </c>
      <c r="I20" s="3">
        <f t="shared" si="13"/>
        <v>500.05516870101371</v>
      </c>
      <c r="J20" s="3">
        <f t="shared" si="13"/>
        <v>388.91042133923401</v>
      </c>
      <c r="K20" s="3">
        <f t="shared" si="13"/>
        <v>216.71912988178249</v>
      </c>
      <c r="L20" s="3">
        <f t="shared" ref="L20" si="14">SUM(L21:L22,L41,L50:L51,L56)</f>
        <v>106.59729358702221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3.6601882141811259</v>
      </c>
      <c r="G21" s="1" cm="1">
        <f t="array" ref="G21">SUMPRODUCT(("COA"=[1]OUT_PrimaryEnergyCons!$C$4:$C$10000)*1,[1]OUT_PrimaryEnergyCons!E$4:E$10000)</f>
        <v>3.5647660482432162</v>
      </c>
      <c r="H21" s="1" cm="1">
        <f t="array" ref="H21">SUMPRODUCT(("COA"=[1]OUT_PrimaryEnergyCons!$C$4:$C$10000)*1,[1]OUT_PrimaryEnergyCons!F$4:F$10000)</f>
        <v>0.15596099168927152</v>
      </c>
      <c r="I21" s="1" cm="1">
        <f t="array" ref="I21">SUMPRODUCT(("COA"=[1]OUT_PrimaryEnergyCons!$C$4:$C$10000)*1,[1]OUT_PrimaryEnergyCons!G$4:G$10000)</f>
        <v>4.6208376640515239E-3</v>
      </c>
      <c r="J21" s="1" cm="1">
        <f t="array" ref="J21">SUMPRODUCT(("COA"=[2]OUT_PrimaryEnergyCons!$C$4:$C$10000)*1,[2]OUT_PrimaryEnergyCons!H$4:H$10000)</f>
        <v>4.6511613424303957E-3</v>
      </c>
      <c r="K21" s="1" cm="1">
        <f t="array" ref="K21">SUMPRODUCT(("COA"=[2]OUT_PrimaryEnergyCons!$C$4:$C$10000)*1,[2]OUT_PrimaryEnergyCons!I$4:I$10000)</f>
        <v>5.0060000689233861E-4</v>
      </c>
      <c r="L21" s="1" cm="1">
        <f t="array" ref="L21">SUMPRODUCT(("COA"=[2]OUT_PrimaryEnergyCons!$C$4:$C$10000)*1,[2]OUT_PrimaryEnergyCons!J$4:J$10000)</f>
        <v>8.3625798899730668E-6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311.19204139929144</v>
      </c>
      <c r="G22" s="1">
        <f t="shared" ref="G22:K22" si="15">G23+G29</f>
        <v>286.59565245584537</v>
      </c>
      <c r="H22" s="1">
        <f t="shared" si="15"/>
        <v>260.17311711540322</v>
      </c>
      <c r="I22" s="1">
        <f t="shared" si="15"/>
        <v>158.41676724599998</v>
      </c>
      <c r="J22" s="1">
        <f t="shared" si="15"/>
        <v>107.82297478975913</v>
      </c>
      <c r="K22" s="1">
        <f t="shared" si="15"/>
        <v>73.460664508014744</v>
      </c>
      <c r="L22" s="1">
        <f t="shared" ref="L22" si="16">L23+L29</f>
        <v>85.957793569605272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305.33109084662027</v>
      </c>
      <c r="G23" s="1">
        <f t="shared" ref="G23:K23" si="20">SUM(G24:G28)</f>
        <v>280.7364963933216</v>
      </c>
      <c r="H23" s="1">
        <f t="shared" si="20"/>
        <v>254.31385051000939</v>
      </c>
      <c r="I23" s="1">
        <f t="shared" si="20"/>
        <v>148.06345464879749</v>
      </c>
      <c r="J23" s="1">
        <f t="shared" si="20"/>
        <v>85.662574892481416</v>
      </c>
      <c r="K23" s="1">
        <f t="shared" si="20"/>
        <v>37.752114450404335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102.14686482660032</v>
      </c>
      <c r="G24" s="1" cm="1">
        <f t="array" ref="G24">SUMPRODUCT(("LFO"=[1]OUT_PrimaryEnergyCons!$C$4:$C$10000)*1,[1]OUT_PrimaryEnergyCons!E$4:E$10000)</f>
        <v>88.232629849963274</v>
      </c>
      <c r="H24" s="1" cm="1">
        <f t="array" ref="H24">SUMPRODUCT(("LFO"=[1]OUT_PrimaryEnergyCons!$C$4:$C$10000)*1,[1]OUT_PrimaryEnergyCons!F$4:F$10000)</f>
        <v>86.025824283526873</v>
      </c>
      <c r="I24" s="1" cm="1">
        <f t="array" ref="I24">SUMPRODUCT(("LFO"=[1]OUT_PrimaryEnergyCons!$C$4:$C$10000)*1,[1]OUT_PrimaryEnergyCons!G$4:G$10000)</f>
        <v>47.723315078576853</v>
      </c>
      <c r="J24" s="1" cm="1">
        <f t="array" ref="J24">SUMPRODUCT(("LFO"=[2]OUT_PrimaryEnergyCons!$C$4:$C$10000)*1,[2]OUT_PrimaryEnergyCons!H$4:H$10000)</f>
        <v>34.201740938514433</v>
      </c>
      <c r="K24" s="1" cm="1">
        <f t="array" ref="K24">SUMPRODUCT(("LFO"=[2]OUT_PrimaryEnergyCons!$C$4:$C$10000)*1,[2]OUT_PrimaryEnergyCons!I$4:I$10000)</f>
        <v>16.955653089462977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2.7765248325854821</v>
      </c>
      <c r="G25" s="1" cm="1">
        <f t="array" ref="G25">SUMPRODUCT(("HFO"=[1]OUT_PrimaryEnergyCons!$C$4:$C$10000)*1,[1]OUT_PrimaryEnergyCons!E$4:E$10000)</f>
        <v>2.7643673663297474</v>
      </c>
      <c r="H25" s="1" cm="1">
        <f t="array" ref="H25">SUMPRODUCT(("HFO"=[1]OUT_PrimaryEnergyCons!$C$4:$C$10000)*1,[1]OUT_PrimaryEnergyCons!F$4:F$10000)</f>
        <v>4.8276246552936893E-2</v>
      </c>
      <c r="I25" s="1" cm="1">
        <f t="array" ref="I25">SUMPRODUCT(("HFO"=[1]OUT_PrimaryEnergyCons!$C$4:$C$10000)*1,[1]OUT_PrimaryEnergyCons!G$4:G$10000)</f>
        <v>4.6215869532633732E-3</v>
      </c>
      <c r="J25" s="1" cm="1">
        <f t="array" ref="J25">SUMPRODUCT(("HFO"=[2]OUT_PrimaryEnergyCons!$C$4:$C$10000)*1,[2]OUT_PrimaryEnergyCons!H$4:H$10000)</f>
        <v>7.1151622481693136E-3</v>
      </c>
      <c r="K25" s="1" cm="1">
        <f t="array" ref="K25">SUMPRODUCT(("HFO"=[2]OUT_PrimaryEnergyCons!$C$4:$C$10000)*1,[2]OUT_PrimaryEnergyCons!I$4:I$10000)</f>
        <v>4.9387379504808534E-4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121.89424816293706</v>
      </c>
      <c r="G26" s="1" cm="1">
        <f t="array" ref="G26">SUMPRODUCT(("DSL"=[1]OUT_PrimaryEnergyCons!$C$4:$C$10000)*1,[1]OUT_PrimaryEnergyCons!E$4:E$10000)</f>
        <v>112.68574983712354</v>
      </c>
      <c r="H26" s="1" cm="1">
        <f t="array" ref="H26">SUMPRODUCT(("DSL"=[1]OUT_PrimaryEnergyCons!$C$4:$C$10000)*1,[1]OUT_PrimaryEnergyCons!F$4:F$10000)</f>
        <v>95.48232651826433</v>
      </c>
      <c r="I26" s="1" cm="1">
        <f t="array" ref="I26">SUMPRODUCT(("DSL"=[1]OUT_PrimaryEnergyCons!$C$4:$C$10000)*1,[1]OUT_PrimaryEnergyCons!G$4:G$10000)</f>
        <v>56.806864888603791</v>
      </c>
      <c r="J26" s="1" cm="1">
        <f t="array" ref="J26">SUMPRODUCT(("DSL"=[2]OUT_PrimaryEnergyCons!$C$4:$C$10000)*1,[2]OUT_PrimaryEnergyCons!H$4:H$10000)</f>
        <v>31.97732848277191</v>
      </c>
      <c r="K26" s="1" cm="1">
        <f t="array" ref="K26">SUMPRODUCT(("DSL"=[2]OUT_PrimaryEnergyCons!$C$4:$C$10000)*1,[2]OUT_PrimaryEnergyCons!I$4:I$10000)</f>
        <v>15.913270204032933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77.404073620847043</v>
      </c>
      <c r="G27" s="1" cm="1">
        <f t="array" ref="G27">SUMPRODUCT(("GSL"=[1]OUT_PrimaryEnergyCons!$C$4:$C$10000)*1,[1]OUT_PrimaryEnergyCons!E$4:E$10000)</f>
        <v>75.649647193300396</v>
      </c>
      <c r="H27" s="1" cm="1">
        <f t="array" ref="H27">SUMPRODUCT(("GSL"=[1]OUT_PrimaryEnergyCons!$C$4:$C$10000)*1,[1]OUT_PrimaryEnergyCons!F$4:F$10000)</f>
        <v>70.929145538586567</v>
      </c>
      <c r="I27" s="1" cm="1">
        <f t="array" ref="I27">SUMPRODUCT(("GSL"=[1]OUT_PrimaryEnergyCons!$C$4:$C$10000)*1,[1]OUT_PrimaryEnergyCons!G$4:G$10000)</f>
        <v>41.082883194158065</v>
      </c>
      <c r="J27" s="1" cm="1">
        <f t="array" ref="J27">SUMPRODUCT(("GSL"=[2]OUT_PrimaryEnergyCons!$C$4:$C$10000)*1,[2]OUT_PrimaryEnergyCons!H$4:H$10000)</f>
        <v>16.891886759322894</v>
      </c>
      <c r="K27" s="1" cm="1">
        <f t="array" ref="K27">SUMPRODUCT(("GSL"=[2]OUT_PrimaryEnergyCons!$C$4:$C$10000)*1,[2]OUT_PrimaryEnergyCons!I$4:I$10000)</f>
        <v>2.7337661333351373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1.1093794036503803</v>
      </c>
      <c r="G28" s="1" cm="1">
        <f t="array" ref="G28">SUMPRODUCT(("KER"=[1]OUT_PrimaryEnergyCons!$C$4:$C$10000)*1,[1]OUT_PrimaryEnergyCons!E$4:E$10000)</f>
        <v>1.4041021466046504</v>
      </c>
      <c r="H28" s="1" cm="1">
        <f t="array" ref="H28">SUMPRODUCT(("KER"=[1]OUT_PrimaryEnergyCons!$C$4:$C$10000)*1,[1]OUT_PrimaryEnergyCons!F$4:F$10000)</f>
        <v>1.8282779230786981</v>
      </c>
      <c r="I28" s="1" cm="1">
        <f t="array" ref="I28">SUMPRODUCT(("KER"=[1]OUT_PrimaryEnergyCons!$C$4:$C$10000)*1,[1]OUT_PrimaryEnergyCons!G$4:G$10000)</f>
        <v>2.4457699005055282</v>
      </c>
      <c r="J28" s="1" cm="1">
        <f t="array" ref="J28">SUMPRODUCT(("KER"=[2]OUT_PrimaryEnergyCons!$C$4:$C$10000)*1,[2]OUT_PrimaryEnergyCons!H$4:H$10000)</f>
        <v>2.5845035496240074</v>
      </c>
      <c r="K28" s="1" cm="1">
        <f t="array" ref="K28">SUMPRODUCT(("KER"=[2]OUT_PrimaryEnergyCons!$C$4:$C$10000)*1,[2]OUT_PrimaryEnergyCons!I$4:I$10000)</f>
        <v>2.1489311497782335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5.8609505526711647</v>
      </c>
      <c r="G29" s="1">
        <f t="shared" ref="G29:K29" si="25">SUM(G30:G32)</f>
        <v>5.859156062523784</v>
      </c>
      <c r="H29" s="1">
        <f t="shared" si="25"/>
        <v>5.8592666053938247</v>
      </c>
      <c r="I29" s="1">
        <f t="shared" si="25"/>
        <v>10.353312597202482</v>
      </c>
      <c r="J29" s="1">
        <f t="shared" si="25"/>
        <v>22.160399897277713</v>
      </c>
      <c r="K29" s="1">
        <f t="shared" si="25"/>
        <v>35.70855005761041</v>
      </c>
      <c r="L29" s="1">
        <f t="shared" ref="L29" si="26">SUM(L30:L32)</f>
        <v>85.957793569605272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2.8760568952153025</v>
      </c>
      <c r="G30" s="1" cm="1">
        <f t="array" ref="G30">SUMPRODUCT(ISNUMBER(SEARCH("IMPBDS",[1]OUT_SyntheticFuels!$C$4:$C$1000))*1,("Var_Fout"=[1]OUT_SyntheticFuels!$B$4:$B$1000)*1,[1]OUT_SyntheticFuels!F$4:F$1000)-G32</f>
        <v>1.8135911085892917</v>
      </c>
      <c r="H30" s="1" cm="1">
        <f t="array" ref="H30">SUMPRODUCT(ISNUMBER(SEARCH("IMPBDS",[1]OUT_SyntheticFuels!$C$4:$C$1000))*1,("Var_Fout"=[1]OUT_SyntheticFuels!$B$4:$B$1000)*1,[1]OUT_SyntheticFuels!G$4:G$1000)-H32</f>
        <v>3.2681377156991562</v>
      </c>
      <c r="I30" s="1" cm="1">
        <f t="array" ref="I30">SUMPRODUCT(ISNUMBER(SEARCH("IMPBDS",[1]OUT_SyntheticFuels!$C$4:$C$1000))*1,("Var_Fout"=[1]OUT_SyntheticFuels!$B$4:$B$1000)*1,[1]OUT_SyntheticFuels!H$4:H$1000)-I32</f>
        <v>3.2465039351268459</v>
      </c>
      <c r="J30" s="1" cm="1">
        <f t="array" ref="J30">SUMPRODUCT(ISNUMBER(SEARCH("IMPBDS",[2]OUT_SyntheticFuels!$C$4:$C$1000))*1,("Var_Fout"=[2]OUT_SyntheticFuels!$B$4:$B$1000)*1,[2]OUT_SyntheticFuels!I$4:I$1000)-J32</f>
        <v>3.0405562907051511</v>
      </c>
      <c r="K30" s="1" cm="1">
        <f t="array" ref="K30">SUMPRODUCT(ISNUMBER(SEARCH("IMPBDS",[2]OUT_SyntheticFuels!$C$4:$C$1000))*1,("Var_Fout"=[2]OUT_SyntheticFuels!$B$4:$B$1000)*1,[2]OUT_SyntheticFuels!J$4:J$1000)-K32</f>
        <v>3.0349604616520978</v>
      </c>
      <c r="L30" s="1" cm="1">
        <f t="array" ref="L30">SUMPRODUCT(ISNUMBER(SEARCH("IMPBDS",[2]OUT_SyntheticFuels!$C$4:$C$1000))*1,("Var_Fout"=[2]OUT_SyntheticFuels!$B$4:$B$1000)*1,[2]OUT_SyntheticFuels!K$4:K$1000)-L32</f>
        <v>4.1401946338465336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2.9848618205759734</v>
      </c>
      <c r="G31" s="1" cm="1">
        <f t="array" ref="G31">SUMPRODUCT(ISNUMBER(SEARCH("IMPeth",[1]OUT_SyntheticFuels!$C$4:$C$1000))*1,("Var_Fout"=[1]OUT_SyntheticFuels!$B$4:$B$1000)*1,[1]OUT_SyntheticFuels!F$4:F$1000)</f>
        <v>4.0443988278181138</v>
      </c>
      <c r="H31" s="1" cm="1">
        <f t="array" ref="H31">SUMPRODUCT(ISNUMBER(SEARCH("IMPeth",[1]OUT_SyntheticFuels!$C$4:$C$1000))*1,("Var_Fout"=[1]OUT_SyntheticFuels!$B$4:$B$1000)*1,[1]OUT_SyntheticFuels!G$4:G$1000)</f>
        <v>2.570739257428853</v>
      </c>
      <c r="I31" s="1" cm="1">
        <f t="array" ref="I31">SUMPRODUCT(ISNUMBER(SEARCH("IMPeth",[1]OUT_SyntheticFuels!$C$4:$C$1000))*1,("Var_Fout"=[1]OUT_SyntheticFuels!$B$4:$B$1000)*1,[1]OUT_SyntheticFuels!H$4:H$1000)</f>
        <v>1.9550049530579647</v>
      </c>
      <c r="J31" s="1" cm="1">
        <f t="array" ref="J31">SUMPRODUCT(ISNUMBER(SEARCH("IMPeth",[2]OUT_SyntheticFuels!$C$4:$C$1000))*1,("Var_Fout"=[2]OUT_SyntheticFuels!$B$4:$B$1000)*1,[2]OUT_SyntheticFuels!I$4:I$1000)</f>
        <v>1.5819373865668636</v>
      </c>
      <c r="K31" s="1" cm="1">
        <f t="array" ref="K31">SUMPRODUCT(ISNUMBER(SEARCH("IMPeth",[2]OUT_SyntheticFuels!$C$4:$C$1000))*1,("Var_Fout"=[2]OUT_SyntheticFuels!$B$4:$B$1000)*1,[2]OUT_SyntheticFuels!J$4:J$1000)</f>
        <v>2.863850046239325</v>
      </c>
      <c r="L31" s="1" cm="1">
        <f t="array" ref="L31">SUMPRODUCT(ISNUMBER(SEARCH("IMPeth",[2]OUT_SyntheticFuels!$C$4:$C$1000))*1,("Var_Fout"=[2]OUT_SyntheticFuels!$B$4:$B$1000)*1,[2]OUT_SyntheticFuels!K$4:K$1000)</f>
        <v>7.1232835390029822E-2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3.18368798889021E-5</v>
      </c>
      <c r="G32" s="1">
        <f>SUM([1]Transport_Aviation_Intl!C$12,[1]Transport!C$28)</f>
        <v>1.16612611637865E-3</v>
      </c>
      <c r="H32" s="1">
        <f>SUM([1]Transport_Aviation_Intl!D$12,[1]Transport!D$28)</f>
        <v>2.0389632265815898E-2</v>
      </c>
      <c r="I32" s="1">
        <f>SUM([1]Transport_Aviation_Intl!E$12,[1]Transport!E$28)</f>
        <v>5.1518037090176705</v>
      </c>
      <c r="J32" s="1">
        <f>SUM([2]Transport_Aviation_Intl!F$12,[2]Transport!F$28)</f>
        <v>17.537906220005699</v>
      </c>
      <c r="K32" s="1">
        <f>SUM([2]Transport_Aviation_Intl!G$12,[2]Transport!G$28)</f>
        <v>29.809739549718984</v>
      </c>
      <c r="L32" s="1">
        <f>SUM([2]Transport_Aviation_Intl!H$12,[2]Transport!H$28)</f>
        <v>81.746366100368704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5.8609505526711647</v>
      </c>
      <c r="G33" s="1">
        <f t="shared" si="27"/>
        <v>5.859156062523784</v>
      </c>
      <c r="H33" s="1">
        <f t="shared" si="27"/>
        <v>5.8592666053938247</v>
      </c>
      <c r="I33" s="1">
        <f t="shared" si="27"/>
        <v>10.353312597202482</v>
      </c>
      <c r="J33" s="1">
        <f t="shared" si="27"/>
        <v>9.7742973862896854</v>
      </c>
      <c r="K33" s="1">
        <f>SUM(K34:K36)</f>
        <v>23.436716727897121</v>
      </c>
      <c r="L33" s="1">
        <f>SUM(L34:L36)</f>
        <v>33.149110100808173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2.8760568952153025</v>
      </c>
      <c r="G34" s="1">
        <f t="shared" si="28"/>
        <v>1.8135911085892917</v>
      </c>
      <c r="H34" s="1">
        <f t="shared" si="28"/>
        <v>3.2681377156991562</v>
      </c>
      <c r="I34" s="1">
        <f t="shared" si="28"/>
        <v>3.2465039351268459</v>
      </c>
      <c r="J34" s="1">
        <f>IF(J30-MAX(F30:I30)&lt;0,J30,MAX(F30:I30))</f>
        <v>3.0405562907051511</v>
      </c>
      <c r="K34" s="1">
        <f>IF(K30-MAX(F30:J30)&lt;0,K30,MAX(F30:J30))</f>
        <v>3.0349604616520978</v>
      </c>
      <c r="L34" s="1">
        <f>IF(L30-MAX(G30:K30)&lt;0,L30,MAX(G30:K30))</f>
        <v>3.2681377156991562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2.9848618205759734</v>
      </c>
      <c r="G35" s="1">
        <f t="shared" si="28"/>
        <v>4.0443988278181138</v>
      </c>
      <c r="H35" s="1">
        <f t="shared" si="28"/>
        <v>2.570739257428853</v>
      </c>
      <c r="I35" s="1">
        <f t="shared" si="28"/>
        <v>1.9550049530579647</v>
      </c>
      <c r="J35" s="1">
        <f>IF(J31-MAX(F31:I31)&lt;0,J31,MAX(F31:I31))</f>
        <v>1.5819373865668636</v>
      </c>
      <c r="K35" s="1">
        <f>IF(K31-MAX(F31:J31)&lt;0,K31,MAX(F31:J31))</f>
        <v>2.863850046239325</v>
      </c>
      <c r="L35" s="1">
        <f>IF(L31-MAX(G31:K31)&lt;0,L31,MAX(G31:K31))</f>
        <v>7.1232835390029822E-2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3.18368798889021E-5</v>
      </c>
      <c r="G36" s="1">
        <f>SUM([1]Transport!C$28,[1]Transport_Aviation_Intl!C$12)</f>
        <v>1.16612611637865E-3</v>
      </c>
      <c r="H36" s="1">
        <f>SUM([1]Transport!D$28,[1]Transport_Aviation_Intl!D$12)</f>
        <v>2.0389632265815898E-2</v>
      </c>
      <c r="I36" s="1">
        <f>SUM([1]Transport!E$28,[1]Transport_Aviation_Intl!E$12)</f>
        <v>5.1518037090176705</v>
      </c>
      <c r="J36" s="1">
        <f>IF(J32-MAX(F32:I32)&lt;0,J32,MAX(F32:I32))</f>
        <v>5.1518037090176705</v>
      </c>
      <c r="K36" s="1">
        <f>IF(K32-MAX(G32:J32)&lt;0,K32,MAX(G32:J32))</f>
        <v>17.537906220005699</v>
      </c>
      <c r="L36" s="1">
        <f>IF(L32-MAX(H32:K32)&lt;0,L32,MAX(H32:K32))</f>
        <v>29.809739549718984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12.386102510988028</v>
      </c>
      <c r="K37" s="1">
        <f t="shared" si="29"/>
        <v>12.271833329713285</v>
      </c>
      <c r="L37" s="1">
        <f t="shared" ref="L37" si="30">SUM(L38:L40)</f>
        <v>52.808683468797099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0.8720569181473774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12.386102510988028</v>
      </c>
      <c r="K40" s="1">
        <f t="shared" si="31"/>
        <v>12.271833329713285</v>
      </c>
      <c r="L40" s="1">
        <f t="shared" ref="L40" si="34">L32-L36</f>
        <v>51.93662655064972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118.81618615236589</v>
      </c>
      <c r="G41" s="1">
        <f t="shared" ref="G41:K41" si="36">G42+G45</f>
        <v>106.72179597074525</v>
      </c>
      <c r="H41" s="1">
        <f t="shared" si="36"/>
        <v>106.23083898984014</v>
      </c>
      <c r="I41" s="1">
        <f t="shared" si="36"/>
        <v>79.110953288860841</v>
      </c>
      <c r="J41" s="1">
        <f t="shared" si="36"/>
        <v>57.170651267636721</v>
      </c>
      <c r="K41" s="1">
        <f t="shared" si="36"/>
        <v>16.740633864996894</v>
      </c>
      <c r="L41" s="1">
        <f t="shared" ref="L41" si="37">L42+L45</f>
        <v>4.5012325220219205E-4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118.81618615236589</v>
      </c>
      <c r="G42" s="1">
        <f t="shared" ref="G42:K42" si="38">G43+G44</f>
        <v>106.72001471923431</v>
      </c>
      <c r="H42" s="1">
        <f t="shared" si="38"/>
        <v>106.22916669823748</v>
      </c>
      <c r="I42" s="1">
        <f t="shared" si="38"/>
        <v>78.583730394163766</v>
      </c>
      <c r="J42" s="1">
        <f t="shared" si="38"/>
        <v>55.891197188134512</v>
      </c>
      <c r="K42" s="1">
        <f t="shared" si="38"/>
        <v>16.738951408514634</v>
      </c>
      <c r="L42" s="1">
        <f t="shared" ref="L42" si="39">L43+L44</f>
        <v>2.8432714456837342E-5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118.81618615236589</v>
      </c>
      <c r="G43" s="1" cm="1">
        <f t="array" ref="G43">SUMPRODUCT(("NGA"=[1]OUT_PrimaryEnergyCons!$C$4:$C$10000)*1,[1]OUT_PrimaryEnergyCons!E$4:E$10000)</f>
        <v>106.72001471923431</v>
      </c>
      <c r="H43" s="1" cm="1">
        <f t="array" ref="H43">SUMPRODUCT(("NGA"=[1]OUT_PrimaryEnergyCons!$C$4:$C$10000)*1,[1]OUT_PrimaryEnergyCons!F$4:F$10000)</f>
        <v>106.22916669823748</v>
      </c>
      <c r="I43" s="1" cm="1">
        <f t="array" ref="I43">SUMPRODUCT(("NGA"=[1]OUT_PrimaryEnergyCons!$C$4:$C$10000)*1,[1]OUT_PrimaryEnergyCons!G$4:G$10000)</f>
        <v>78.53998988218585</v>
      </c>
      <c r="J43" s="1" cm="1">
        <f t="array" ref="J43">SUMPRODUCT(("NGA"=[2]OUT_PrimaryEnergyCons!$C$4:$C$10000)*1,[2]OUT_PrimaryEnergyCons!H$4:H$10000)</f>
        <v>55.885155641175182</v>
      </c>
      <c r="K43" s="1" cm="1">
        <f t="array" ref="K43">SUMPRODUCT(("NGA"=[2]OUT_PrimaryEnergyCons!$C$4:$C$10000)*1,[2]OUT_PrimaryEnergyCons!I$4:I$10000)</f>
        <v>16.734606214050988</v>
      </c>
      <c r="L43" s="1" cm="1">
        <f t="array" ref="L43">SUMPRODUCT(("NGA"=[2]OUT_PrimaryEnergyCons!$C$4:$C$10000)*1,[2]OUT_PrimaryEnergyCons!J$4:J$10000)</f>
        <v>7.110300258726386E-6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4.3740511977914093E-2</v>
      </c>
      <c r="J44" s="1" cm="1">
        <f t="array" ref="J44">SUMPRODUCT(("LNGA"=[2]OUT_PrimaryEnergyCons!$C$4:$C$10000)*1,[2]OUT_PrimaryEnergyCons!H$4:H$10000)</f>
        <v>6.0415469593299133E-3</v>
      </c>
      <c r="K44" s="1" cm="1">
        <f t="array" ref="K44">SUMPRODUCT(("LNGA"=[2]OUT_PrimaryEnergyCons!$C$4:$C$10000)*1,[2]OUT_PrimaryEnergyCons!I$4:I$10000)</f>
        <v>4.3451944636472206E-3</v>
      </c>
      <c r="L44" s="1" cm="1">
        <f t="array" ref="L44">SUMPRODUCT(("LNGA"=[2]OUT_PrimaryEnergyCons!$C$4:$C$10000)*1,[2]OUT_PrimaryEnergyCons!J$4:J$10000)</f>
        <v>2.1322414198110956E-5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1.7812515109373096E-3</v>
      </c>
      <c r="H45" s="1" cm="1">
        <f t="array" ref="H45">SUMPRODUCT(("BIO"=[1]OUT_PrimaryEnergyCons!$C$4:$C$10000)*1+("LBIO"=[1]OUT_PrimaryEnergyCons!$C$4:$C$10000)*1,[1]OUT_PrimaryEnergyCons!F$4:F$10000)</f>
        <v>1.6722916026538155E-3</v>
      </c>
      <c r="I45" s="1" cm="1">
        <f t="array" ref="I45">SUMPRODUCT(("BIO"=[1]OUT_PrimaryEnergyCons!$C$4:$C$10000)*1+("LBIO"=[1]OUT_PrimaryEnergyCons!$C$4:$C$10000)*1,[1]OUT_PrimaryEnergyCons!G$4:G$10000)</f>
        <v>0.5272228946970724</v>
      </c>
      <c r="J45" s="1" cm="1">
        <f t="array" ref="J45">SUMPRODUCT(("BIO"=[2]OUT_PrimaryEnergyCons!$C$4:$C$10000)*1+("LBIO"=[2]OUT_PrimaryEnergyCons!$C$4:$C$10000)*1,[2]OUT_PrimaryEnergyCons!H$4:H$10000)</f>
        <v>1.2794540795022096</v>
      </c>
      <c r="K45" s="1" cm="1">
        <f t="array" ref="K45">SUMPRODUCT(("BIO"=[2]OUT_PrimaryEnergyCons!$C$4:$C$10000)*1+("LBIO"=[2]OUT_PrimaryEnergyCons!$C$4:$C$10000)*1,[2]OUT_PrimaryEnergyCons!I$4:I$10000)</f>
        <v>1.6824564822599929E-3</v>
      </c>
      <c r="L45" s="1" cm="1">
        <f t="array" ref="L45">SUMPRODUCT(("BIO"=[2]OUT_PrimaryEnergyCons!$C$4:$C$10000)*1+("LBIO"=[2]OUT_PrimaryEnergyCons!$C$4:$C$10000)*1,[2]OUT_PrimaryEnergyCons!J$4:J$10000)</f>
        <v>4.2169053774535471E-4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1.7812515109373096E-3</v>
      </c>
      <c r="H46" s="1">
        <f t="shared" si="41"/>
        <v>1.6722916026538155E-3</v>
      </c>
      <c r="I46" s="1">
        <f t="shared" si="41"/>
        <v>0.5272228946970724</v>
      </c>
      <c r="J46" s="1">
        <f t="shared" si="41"/>
        <v>0.5272228946970724</v>
      </c>
      <c r="K46" s="1">
        <f t="shared" si="41"/>
        <v>1.6824564822599929E-3</v>
      </c>
      <c r="L46" s="1">
        <f t="shared" si="41"/>
        <v>4.2169053774535471E-4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1.7812515109373096E-3</v>
      </c>
      <c r="H47" s="1">
        <f>H45</f>
        <v>1.6722916026538155E-3</v>
      </c>
      <c r="I47" s="1">
        <f>I45</f>
        <v>0.5272228946970724</v>
      </c>
      <c r="J47" s="1">
        <f>IF(J45-MAX(F45:I45)&lt;0,J45,MAX(F45:I45))</f>
        <v>0.5272228946970724</v>
      </c>
      <c r="K47" s="1">
        <f>IF(K45-MAX(G45:J45)&lt;0,K45,MAX(G45:J45))</f>
        <v>1.6824564822599929E-3</v>
      </c>
      <c r="L47" s="1">
        <f>IF(L45-MAX(H45:K45)&lt;0,L45,MAX(H45:K45))</f>
        <v>4.2169053774535471E-4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0.75223118480513718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0.75223118480513718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250.9487170795704</v>
      </c>
      <c r="G50" s="1" cm="1">
        <f t="array" ref="G50">SUMPRODUCT(("urn"=[1]OUT_PrimaryEnergyCons!$C$4:$C$10000)*1,[1]OUT_PrimaryEnergyCons!E$4:E$10000)</f>
        <v>253.29674232384011</v>
      </c>
      <c r="H50" s="1" cm="1">
        <f t="array" ref="H50">SUMPRODUCT(("urn"=[1]OUT_PrimaryEnergyCons!$C$4:$C$10000)*1,[1]OUT_PrimaryEnergyCons!F$4:F$10000)</f>
        <v>233.18388719099895</v>
      </c>
      <c r="I50" s="1" cm="1">
        <f t="array" ref="I50">SUMPRODUCT(("urn"=[1]OUT_PrimaryEnergyCons!$C$4:$C$10000)*1,[1]OUT_PrimaryEnergyCons!G$4:G$10000)</f>
        <v>211.82169140682569</v>
      </c>
      <c r="J50" s="1" cm="1">
        <f t="array" ref="J50">SUMPRODUCT(("urn"=[2]OUT_PrimaryEnergyCons!$C$4:$C$10000)*1,[2]OUT_PrimaryEnergyCons!H$4:H$10000)</f>
        <v>167.60312820269226</v>
      </c>
      <c r="K50" s="1" cm="1">
        <f t="array" ref="K50">SUMPRODUCT(("urn"=[2]OUT_PrimaryEnergyCons!$C$4:$C$10000)*1,[2]OUT_PrimaryEnergyCons!I$4:I$10000)</f>
        <v>98.945517737745703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97.160165903260548</v>
      </c>
      <c r="G51" s="1">
        <f t="shared" ref="G51:K51" si="46">SUM(G52:G55)</f>
        <v>50.302684492172048</v>
      </c>
      <c r="H51" s="1">
        <f t="shared" si="46"/>
        <v>50.448849791695977</v>
      </c>
      <c r="I51" s="1">
        <f t="shared" si="46"/>
        <v>50.701135921663187</v>
      </c>
      <c r="J51" s="1">
        <f t="shared" si="46"/>
        <v>56.309015917803499</v>
      </c>
      <c r="K51" s="1">
        <f t="shared" si="46"/>
        <v>27.571799085016654</v>
      </c>
      <c r="L51" s="1">
        <f t="shared" ref="L51" si="47">SUM(L52:L55)</f>
        <v>20.63902828818695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15.013856275659503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0.94657119544528923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0.51305837026265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0.52562360039349076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0.13787899173348456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6.7554818304531264E-2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6.887344544689447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28.948670600564245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21.080686840054629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26.594131344599681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18.064614718796527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18.125871444879316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8.8482874024139626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6.506277262311233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46.3985156408202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28.265630226990357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23.333218548066622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32.107053704417403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38.044751963554113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18.655614163692011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7.2451374983854304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6.7991233862165927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9.7962296817703486E-3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8.4415287670235387E-3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3.8438980557683514E-3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5.1351763658463213E-4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3.4270060615077983E-4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2.6898280083927485E-4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1.4086001574231739E-5</v>
      </c>
      <c r="L56" s="1" cm="1">
        <f t="array" ref="L56">SUMPRODUCT(("h2"=[2]OUT_PrimaryEnergyCons!$C$4:$C$10000)*1,[2]OUT_PrimaryEnergyCons!J$4:J$10000)</f>
        <v>1.3243397891127236E-5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117.17025668577485</v>
      </c>
      <c r="G57" s="3">
        <f t="shared" ref="G57:L57" si="51">G58</f>
        <v>34.90251893488643</v>
      </c>
      <c r="H57" s="3">
        <f t="shared" si="51"/>
        <v>71.952545708917654</v>
      </c>
      <c r="I57" s="3">
        <f t="shared" si="51"/>
        <v>52.700913642029796</v>
      </c>
      <c r="J57" s="3">
        <f t="shared" si="51"/>
        <v>32.658380894783491</v>
      </c>
      <c r="K57" s="3">
        <f t="shared" si="51"/>
        <v>29.571792141102748</v>
      </c>
      <c r="L57" s="3">
        <f t="shared" si="51"/>
        <v>22.639029778227826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117.17025668577485</v>
      </c>
      <c r="G58" s="1">
        <f t="shared" ref="G58:K58" si="52">SUM(G59:G62)</f>
        <v>34.90251893488643</v>
      </c>
      <c r="H58" s="1">
        <f t="shared" si="52"/>
        <v>71.952545708917654</v>
      </c>
      <c r="I58" s="1">
        <f t="shared" si="52"/>
        <v>52.700913642029796</v>
      </c>
      <c r="J58" s="1">
        <f t="shared" si="52"/>
        <v>32.658380894783491</v>
      </c>
      <c r="K58" s="1">
        <f t="shared" si="52"/>
        <v>29.571792141102748</v>
      </c>
      <c r="L58" s="1">
        <f t="shared" ref="L58" si="53">SUM(L59:L62)</f>
        <v>22.639029778227826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6.2296562858476987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1.5931736788436374E-2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2.0913411592458787E-2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3.8060721036487187E-3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4.1205871222710409E-4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4.6625028027649551E-4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2.837228398740165E-4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12.753444394505104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1.3559253697069708E-2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1.4263996112231685E-2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6.9464090622277999E-3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1.3176093791170465E-3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2.2273709390311796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1.6031715107605848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26.493024221127655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1.0514877998353319E-2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1.2516595336610458E-2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9.1876373848008511E-3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1.8400064447442975E-3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2.437011646656417E-2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1.2721333021544627E-2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71.694131784294385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34.86251306640257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71.904851705876354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52.680973523479118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32.654811220247403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27.319584835324729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21.022853211605824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251.09305255219283</v>
      </c>
      <c r="G63" s="3">
        <f t="shared" ref="G63:K63" si="58">SUM(G64,G66,G74,G82,G130,G151,G159,G161,G169,G173,G167)</f>
        <v>229.63445420735781</v>
      </c>
      <c r="H63" s="3">
        <f t="shared" si="58"/>
        <v>256.81209272152972</v>
      </c>
      <c r="I63" s="3">
        <f t="shared" si="58"/>
        <v>320.14308435946305</v>
      </c>
      <c r="J63" s="3">
        <f t="shared" si="58"/>
        <v>290.60139090885468</v>
      </c>
      <c r="K63" s="3">
        <f t="shared" si="58"/>
        <v>354.53111020278567</v>
      </c>
      <c r="L63" s="3">
        <f t="shared" ref="L63" si="59">SUM(L64,L66,L74,L82,L130,L151,L159,L161,L169,L173,L167)</f>
        <v>372.98362758202546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82.760065957019648</v>
      </c>
      <c r="G64" s="1">
        <f t="shared" ref="G64:L64" si="60">+G65</f>
        <v>82.759336656114726</v>
      </c>
      <c r="H64" s="1">
        <f t="shared" si="60"/>
        <v>76.100906333578592</v>
      </c>
      <c r="I64" s="1">
        <f t="shared" si="60"/>
        <v>69.908765460793006</v>
      </c>
      <c r="J64" s="1">
        <f t="shared" si="60"/>
        <v>55.379442723808893</v>
      </c>
      <c r="K64" s="1">
        <f t="shared" si="60"/>
        <v>32.820806080527198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82.760065957019648</v>
      </c>
      <c r="G65" s="1">
        <f>'[1]Electricity and CHPs'!C14</f>
        <v>82.759336656114726</v>
      </c>
      <c r="H65" s="1">
        <f>'[1]Electricity and CHPs'!D14</f>
        <v>76.100906333578592</v>
      </c>
      <c r="I65" s="1">
        <f>'[1]Electricity and CHPs'!E14</f>
        <v>69.908765460793006</v>
      </c>
      <c r="J65" s="1">
        <f>'[2]Electricity and CHPs'!F14</f>
        <v>55.379442723808893</v>
      </c>
      <c r="K65" s="1">
        <f>'[2]Electricity and CHPs'!G14</f>
        <v>32.820806080527198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146.22010093623271</v>
      </c>
      <c r="G66" s="1">
        <f t="shared" ref="G66:K66" si="64">SUM(G67:G69)</f>
        <v>121.6335113040431</v>
      </c>
      <c r="H66" s="1">
        <f t="shared" si="64"/>
        <v>137.11289198949981</v>
      </c>
      <c r="I66" s="1">
        <f t="shared" si="64"/>
        <v>180.51613421829785</v>
      </c>
      <c r="J66" s="1">
        <f t="shared" si="64"/>
        <v>149.4200186449483</v>
      </c>
      <c r="K66" s="1">
        <f t="shared" si="64"/>
        <v>151.97189793862123</v>
      </c>
      <c r="L66" s="1">
        <f t="shared" ref="L66" si="65">SUM(L67:L69)</f>
        <v>156.01501814699873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66.745681606063101</v>
      </c>
      <c r="G67" s="1">
        <f>'[1]Electricity and CHPs'!C15</f>
        <v>49.798777987808691</v>
      </c>
      <c r="H67" s="1">
        <f>'[1]Electricity and CHPs'!D15</f>
        <v>68.970400584037336</v>
      </c>
      <c r="I67" s="1">
        <f>'[1]Electricity and CHPs'!E15</f>
        <v>70.970232393460137</v>
      </c>
      <c r="J67" s="1">
        <f>'[2]Electricity and CHPs'!F15</f>
        <v>72.614680964563476</v>
      </c>
      <c r="K67" s="1">
        <f>'[2]Electricity and CHPs'!G15</f>
        <v>73.883720214170353</v>
      </c>
      <c r="L67" s="1">
        <f>'[2]Electricity and CHPs'!H15</f>
        <v>74.836063035420736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66.632430866657671</v>
      </c>
      <c r="G68" s="1">
        <f>'[1]Electricity and CHPs'!C16</f>
        <v>55.764055694378619</v>
      </c>
      <c r="H68" s="1">
        <f>'[1]Electricity and CHPs'!D16</f>
        <v>65.677217745587797</v>
      </c>
      <c r="I68" s="1">
        <f>'[1]Electricity and CHPs'!E16</f>
        <v>64.853740316850036</v>
      </c>
      <c r="J68" s="1">
        <f>'[2]Electricity and CHPs'!F16</f>
        <v>63.871732700338775</v>
      </c>
      <c r="K68" s="1">
        <f>'[2]Electricity and CHPs'!G16</f>
        <v>64.430908432464136</v>
      </c>
      <c r="L68" s="1">
        <f>'[2]Electricity and CHPs'!H16</f>
        <v>67.134967183378762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12.841988463511951</v>
      </c>
      <c r="G69" s="1">
        <f>'[1]Electricity and CHPs'!C17</f>
        <v>16.070677621855776</v>
      </c>
      <c r="H69" s="1">
        <f>'[1]Electricity and CHPs'!D17</f>
        <v>2.4652736598746894</v>
      </c>
      <c r="I69" s="1">
        <f>'[1]Electricity and CHPs'!E17</f>
        <v>44.692161507987691</v>
      </c>
      <c r="J69" s="1">
        <f>'[2]Electricity and CHPs'!F17</f>
        <v>12.933604980046068</v>
      </c>
      <c r="K69" s="1">
        <f>'[2]Electricity and CHPs'!G17</f>
        <v>13.657269291986717</v>
      </c>
      <c r="L69" s="1">
        <f>'[2]Electricity and CHPs'!H17</f>
        <v>14.043987928199225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0.11202369329304002</v>
      </c>
      <c r="G70" s="1">
        <f t="shared" ref="G70" si="67">SUM(G71:G73)</f>
        <v>0.17158047882708286</v>
      </c>
      <c r="H70" s="1">
        <f t="shared" ref="H70" si="68">SUM(H71:H73)</f>
        <v>0.17156991692285478</v>
      </c>
      <c r="I70" s="1">
        <f t="shared" ref="I70" si="69">SUM(I71:I73)</f>
        <v>0.16833188018214548</v>
      </c>
      <c r="J70" s="1">
        <f t="shared" ref="J70" si="70">SUM(J71:J73)</f>
        <v>0.17155271955820134</v>
      </c>
      <c r="K70" s="1">
        <f t="shared" ref="K70:L70" si="71">SUM(K71:K73)</f>
        <v>3.5452162466885172E-3</v>
      </c>
      <c r="L70" s="1">
        <f t="shared" si="71"/>
        <v>8.7169215315950811E-5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3.9634894610343877E-2</v>
      </c>
      <c r="G71" s="1">
        <f>'[1]Electricity and CHPs'!C18</f>
        <v>2.5645816070054618E-3</v>
      </c>
      <c r="H71" s="1">
        <f>'[1]Electricity and CHPs'!D18</f>
        <v>3.759870426523073E-2</v>
      </c>
      <c r="I71" s="1">
        <f>'[1]Electricity and CHPs'!E18</f>
        <v>5.1097582842592843E-3</v>
      </c>
      <c r="J71" s="1">
        <f>'[2]Electricity and CHPs'!F18</f>
        <v>3.5830271851683506E-3</v>
      </c>
      <c r="K71" s="1">
        <f>'[2]Electricity and CHPs'!G18</f>
        <v>3.0826832540886313E-3</v>
      </c>
      <c r="L71" s="1">
        <f>'[2]Electricity and CHPs'!H18</f>
        <v>7.2873955736442385E-5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1.8349123239430553E-3</v>
      </c>
      <c r="G72" s="1">
        <f>'[1]Electricity and CHPs'!C28</f>
        <v>2.4504348226983604E-3</v>
      </c>
      <c r="H72" s="1">
        <f>'[1]Electricity and CHPs'!D28</f>
        <v>8.458607703420223E-3</v>
      </c>
      <c r="I72" s="1">
        <f>'[1]Electricity and CHPs'!E28</f>
        <v>1.9039403292679326E-3</v>
      </c>
      <c r="J72" s="1">
        <f>'[2]Electricity and CHPs'!F28</f>
        <v>1.0661546124254549E-3</v>
      </c>
      <c r="K72" s="1">
        <f>'[2]Electricity and CHPs'!G28</f>
        <v>4.6253299259988568E-4</v>
      </c>
      <c r="L72" s="1">
        <f>'[2]Electricity and CHPs'!H28</f>
        <v>1.4295259579508429E-5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7.0553886358753079E-2</v>
      </c>
      <c r="G73" s="1">
        <f>'[1]Electricity and CHPs'!C41</f>
        <v>0.16656546239737904</v>
      </c>
      <c r="H73" s="1">
        <f>'[1]Electricity and CHPs'!D41</f>
        <v>0.12551260495420383</v>
      </c>
      <c r="I73" s="1">
        <f>'[1]Electricity and CHPs'!E41</f>
        <v>0.16131818156861827</v>
      </c>
      <c r="J73" s="1">
        <f>'[2]Electricity and CHPs'!F41</f>
        <v>0.16690353776060754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0.11202369329304002</v>
      </c>
      <c r="G74" s="1">
        <f t="shared" ref="G74:K74" si="75">SUM(G75:G77)</f>
        <v>0.17158047882708286</v>
      </c>
      <c r="H74" s="1">
        <f t="shared" si="75"/>
        <v>0.17156991692285478</v>
      </c>
      <c r="I74" s="1">
        <f t="shared" si="75"/>
        <v>0.16833188018214548</v>
      </c>
      <c r="J74" s="1">
        <f t="shared" si="75"/>
        <v>0.17155271955820134</v>
      </c>
      <c r="K74" s="1">
        <f t="shared" si="75"/>
        <v>3.5452162466885172E-3</v>
      </c>
      <c r="L74" s="1">
        <f t="shared" ref="L74" si="76">SUM(L75:L77)</f>
        <v>8.7169215315950811E-5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3.9634894610343877E-2</v>
      </c>
      <c r="G75" s="1">
        <f t="shared" ref="G75:K75" si="77">G71</f>
        <v>2.5645816070054618E-3</v>
      </c>
      <c r="H75" s="1">
        <f t="shared" si="77"/>
        <v>3.759870426523073E-2</v>
      </c>
      <c r="I75" s="1">
        <f t="shared" si="77"/>
        <v>5.1097582842592843E-3</v>
      </c>
      <c r="J75" s="1">
        <f t="shared" si="77"/>
        <v>3.5830271851683506E-3</v>
      </c>
      <c r="K75" s="1">
        <f t="shared" si="77"/>
        <v>3.0826832540886313E-3</v>
      </c>
      <c r="L75" s="1">
        <f t="shared" ref="L75" si="78">L71</f>
        <v>7.2873955736442385E-5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1.8349123239430553E-3</v>
      </c>
      <c r="G76" s="1">
        <f>'[1]Electricity and CHPs'!C28</f>
        <v>2.4504348226983604E-3</v>
      </c>
      <c r="H76" s="1">
        <f>'[1]Electricity and CHPs'!D28</f>
        <v>8.458607703420223E-3</v>
      </c>
      <c r="I76" s="1">
        <f>'[1]Electricity and CHPs'!E28</f>
        <v>1.9039403292679326E-3</v>
      </c>
      <c r="J76" s="1">
        <f>'[2]Electricity and CHPs'!F28</f>
        <v>1.0661546124254549E-3</v>
      </c>
      <c r="K76" s="1">
        <f>'[2]Electricity and CHPs'!G28</f>
        <v>4.6253299259988568E-4</v>
      </c>
      <c r="L76" s="1">
        <f>'[2]Electricity and CHPs'!H28</f>
        <v>1.4295259579508429E-5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7.0553886358753079E-2</v>
      </c>
      <c r="G77" s="1">
        <f>'[1]Electricity and CHPs'!C41</f>
        <v>0.16656546239737904</v>
      </c>
      <c r="H77" s="1">
        <f>'[1]Electricity and CHPs'!D41</f>
        <v>0.12551260495420383</v>
      </c>
      <c r="I77" s="1">
        <f>'[1]Electricity and CHPs'!E41</f>
        <v>0.16131818156861827</v>
      </c>
      <c r="J77" s="1">
        <f>'[2]Electricity and CHPs'!F41</f>
        <v>0.16690353776060754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3.2825586577780554</v>
      </c>
      <c r="G82" s="1">
        <f t="shared" ref="G82:K82" si="82">SUM(G83:G97)</f>
        <v>1.9973807381422199</v>
      </c>
      <c r="H82" s="1">
        <f t="shared" si="82"/>
        <v>2.2543767095992631</v>
      </c>
      <c r="I82" s="1">
        <f t="shared" si="82"/>
        <v>1.1586353807533685</v>
      </c>
      <c r="J82" s="1">
        <f t="shared" si="82"/>
        <v>1.8109168182064304</v>
      </c>
      <c r="K82" s="1">
        <f t="shared" si="82"/>
        <v>1.282567352996228</v>
      </c>
      <c r="L82" s="1">
        <f t="shared" ref="L82" si="83">SUM(L83:L97)</f>
        <v>1.8065367724424777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2.0638049552484564E-5</v>
      </c>
      <c r="L83" s="1">
        <f>'[2]Electricity and CHPs'!H21</f>
        <v>4.0904548102999707E-3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1.1537980141096874E-5</v>
      </c>
      <c r="L84" s="1">
        <f>'[2]Electricity and CHPs'!H22</f>
        <v>2.6385242373117714E-2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0.96593191713005089</v>
      </c>
      <c r="G86" s="1">
        <f>'[1]Electricity and CHPs'!C24</f>
        <v>1.9314762520194165E-2</v>
      </c>
      <c r="H86" s="1">
        <f>'[1]Electricity and CHPs'!D24</f>
        <v>7.9851462797953549E-2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0.67022153480345359</v>
      </c>
      <c r="G88" s="1">
        <f>'[1]Electricity and CHPs'!C39</f>
        <v>0.2165257068792647</v>
      </c>
      <c r="H88" s="1">
        <f>'[1]Electricity and CHPs'!D39</f>
        <v>0.47426138968811049</v>
      </c>
      <c r="I88" s="1">
        <f>'[1]Electricity and CHPs'!E39</f>
        <v>5.1811120007294945E-2</v>
      </c>
      <c r="J88" s="1">
        <f>'[2]Electricity and CHPs'!F39</f>
        <v>0.66673034699594524</v>
      </c>
      <c r="K88" s="1">
        <f>'[2]Electricity and CHPs'!G39</f>
        <v>0.11615851234544446</v>
      </c>
      <c r="L88" s="1">
        <f>'[2]Electricity and CHPs'!H39</f>
        <v>0.42404525605793553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4.8562767341790783E-2</v>
      </c>
      <c r="L89" s="1">
        <f>'[2]Electricity and CHPs'!H40</f>
        <v>0.24520783836628937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3.2471137566342815E-3</v>
      </c>
      <c r="K90" s="1">
        <f>'[2]Electricity and CHPs'!G47</f>
        <v>4.4141989486634848E-3</v>
      </c>
      <c r="L90" s="1">
        <f>'[2]Electricity and CHPs'!H47</f>
        <v>8.1189179649043938E-4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3.9655311133265141E-2</v>
      </c>
      <c r="G91" s="1">
        <f>'[1]Electricity and CHPs'!C48</f>
        <v>1.2010640760934775E-2</v>
      </c>
      <c r="H91" s="1">
        <f>'[1]Electricity and CHPs'!D48</f>
        <v>1.7645600932978896E-2</v>
      </c>
      <c r="I91" s="1">
        <f>'[1]Electricity and CHPs'!E48</f>
        <v>0</v>
      </c>
      <c r="J91" s="1">
        <f>'[2]Electricity and CHPs'!F48</f>
        <v>6.4612590898425332E-3</v>
      </c>
      <c r="K91" s="1">
        <f>'[2]Electricity and CHPs'!G48</f>
        <v>2.1086975593894719E-3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5.2667992513847454E-2</v>
      </c>
      <c r="G93" s="1">
        <f>'[1]Electricity and CHPs'!C51</f>
        <v>1.6451254986357702E-2</v>
      </c>
      <c r="H93" s="1">
        <f>'[1]Electricity and CHPs'!D51</f>
        <v>3.8739416109709636E-2</v>
      </c>
      <c r="I93" s="1">
        <f>'[1]Electricity and CHPs'!E51</f>
        <v>0</v>
      </c>
      <c r="J93" s="1">
        <f>'[2]Electricity and CHPs'!F51</f>
        <v>2.0857707061907968E-2</v>
      </c>
      <c r="K93" s="1">
        <f>'[2]Electricity and CHPs'!G51</f>
        <v>3.9451507455151892E-3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0.95943960649442961</v>
      </c>
      <c r="G95" s="1">
        <f>'[1]Electricity and CHPs'!C54</f>
        <v>1.1064357631516968</v>
      </c>
      <c r="H95" s="1">
        <f>'[1]Electricity and CHPs'!D54</f>
        <v>1.1064075775951663</v>
      </c>
      <c r="I95" s="1">
        <f>'[1]Electricity and CHPs'!E54</f>
        <v>1.1068242607460734</v>
      </c>
      <c r="J95" s="1">
        <f>'[2]Electricity and CHPs'!F54</f>
        <v>1.1059991663876836</v>
      </c>
      <c r="K95" s="1">
        <f>'[2]Electricity and CHPs'!G54</f>
        <v>1.1059952646560558</v>
      </c>
      <c r="L95" s="1">
        <f>'[2]Electricity and CHPs'!H54</f>
        <v>1.1059960890383447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0.59464229570300875</v>
      </c>
      <c r="G96" s="1">
        <f>'[1]Electricity and CHPs'!C55</f>
        <v>0.62664260984377185</v>
      </c>
      <c r="H96" s="1">
        <f>'[1]Electricity and CHPs'!D55</f>
        <v>0.53747126247534416</v>
      </c>
      <c r="I96" s="1">
        <f>'[1]Electricity and CHPs'!E55</f>
        <v>0</v>
      </c>
      <c r="J96" s="1">
        <f>'[2]Electricity and CHPs'!F55</f>
        <v>7.6212249144166737E-3</v>
      </c>
      <c r="K96" s="1">
        <f>'[2]Electricity and CHPs'!G55</f>
        <v>1.3505853696754529E-3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2.2644921958781792</v>
      </c>
      <c r="G98" s="1">
        <f t="shared" ref="G98:K98" si="88">G82-G114</f>
        <v>0.86016264505281104</v>
      </c>
      <c r="H98" s="1">
        <f t="shared" si="88"/>
        <v>1.0859582680832778</v>
      </c>
      <c r="I98" s="1">
        <f t="shared" si="88"/>
        <v>4.649778366615509E-2</v>
      </c>
      <c r="J98" s="1">
        <f t="shared" si="88"/>
        <v>0.5790283819196107</v>
      </c>
      <c r="K98" s="1">
        <f t="shared" si="88"/>
        <v>0.10496224119241315</v>
      </c>
      <c r="L98" s="1">
        <f t="shared" ref="L98" si="89">L82-L114</f>
        <v>0.26624162729143719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1.2268167382692833E-5</v>
      </c>
      <c r="L99" s="1">
        <f t="shared" ref="L99" si="91">L83-L115</f>
        <v>1.5545840104022792E-3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6.8586845510370184E-6</v>
      </c>
      <c r="L100" s="1">
        <f t="shared" ref="L100" si="93">L84-L116</f>
        <v>1.0027754322221558E-2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0.94155540022025275</v>
      </c>
      <c r="G102" s="1">
        <f t="shared" si="96"/>
        <v>1.8647433550106538E-2</v>
      </c>
      <c r="H102" s="1">
        <f t="shared" si="96"/>
        <v>7.553805570764463E-2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0.65330764440733824</v>
      </c>
      <c r="G104" s="1">
        <f t="shared" si="100"/>
        <v>0.20904469970570186</v>
      </c>
      <c r="H104" s="1">
        <f t="shared" si="100"/>
        <v>0.44864279274247154</v>
      </c>
      <c r="I104" s="1">
        <f t="shared" si="100"/>
        <v>4.6497783666155007E-2</v>
      </c>
      <c r="J104" s="1">
        <f t="shared" si="100"/>
        <v>0.54766084095313305</v>
      </c>
      <c r="K104" s="1">
        <f t="shared" si="100"/>
        <v>6.9049745653263342E-2</v>
      </c>
      <c r="L104" s="1">
        <f t="shared" ref="L104" si="101">L88-L120</f>
        <v>0.1611590899610168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2.8867851915983719E-2</v>
      </c>
      <c r="L105" s="1">
        <f t="shared" ref="L105" si="103">L89-L121</f>
        <v>9.3191638198683646E-2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2.6672208016948603E-3</v>
      </c>
      <c r="K106" s="1">
        <f t="shared" si="104"/>
        <v>2.6239946476042295E-3</v>
      </c>
      <c r="L106" s="1">
        <f t="shared" ref="L106" si="105">L90-L122</f>
        <v>3.0856079911276645E-4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3.8654559066519635E-2</v>
      </c>
      <c r="G107" s="1">
        <f t="shared" si="106"/>
        <v>1.1595670681923598E-2</v>
      </c>
      <c r="H107" s="1">
        <f t="shared" si="106"/>
        <v>1.6692422900791072E-2</v>
      </c>
      <c r="I107" s="1">
        <f t="shared" si="106"/>
        <v>0</v>
      </c>
      <c r="J107" s="1">
        <f t="shared" si="106"/>
        <v>5.3073609184025282E-3</v>
      </c>
      <c r="K107" s="1">
        <f t="shared" si="106"/>
        <v>1.2535028832194803E-3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5.1338848929966818E-2</v>
      </c>
      <c r="G109" s="1">
        <f t="shared" si="110"/>
        <v>1.5882860783466686E-2</v>
      </c>
      <c r="H109" s="1">
        <f t="shared" si="110"/>
        <v>3.6646794806768003E-2</v>
      </c>
      <c r="I109" s="1">
        <f t="shared" si="110"/>
        <v>0</v>
      </c>
      <c r="J109" s="1">
        <f t="shared" si="110"/>
        <v>1.7132787552488725E-2</v>
      </c>
      <c r="K109" s="1">
        <f t="shared" si="110"/>
        <v>2.3451716972018332E-3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0.5796357432541015</v>
      </c>
      <c r="G112" s="1">
        <f t="shared" si="116"/>
        <v>0.60499198033161239</v>
      </c>
      <c r="H112" s="1">
        <f t="shared" si="116"/>
        <v>0.50843820192560241</v>
      </c>
      <c r="I112" s="1">
        <f t="shared" si="116"/>
        <v>0</v>
      </c>
      <c r="J112" s="1">
        <f t="shared" si="116"/>
        <v>6.2601716938913959E-3</v>
      </c>
      <c r="K112" s="1">
        <f t="shared" si="116"/>
        <v>8.0284754320690186E-4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1.0180664618998765</v>
      </c>
      <c r="G114" s="1">
        <f t="shared" ref="G114:K114" si="120">SUM(G115:G129)</f>
        <v>1.1372180930894089</v>
      </c>
      <c r="H114" s="1">
        <f t="shared" si="120"/>
        <v>1.1684184415159853</v>
      </c>
      <c r="I114" s="1">
        <f t="shared" si="120"/>
        <v>1.1121375970872134</v>
      </c>
      <c r="J114" s="1">
        <f t="shared" si="120"/>
        <v>1.2318884362868197</v>
      </c>
      <c r="K114" s="1">
        <f t="shared" si="120"/>
        <v>1.1776051118038149</v>
      </c>
      <c r="L114" s="1">
        <f t="shared" ref="L114" si="121">SUM(L115:L129)</f>
        <v>1.5402951451510405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8.3698821697917303E-6</v>
      </c>
      <c r="L115" s="1">
        <f>'[2]Electricity and CHPs_IN'!R$23/SUM('[2]Electricity and CHPs_IN'!R$22:R$23)*L83</f>
        <v>2.5358707998976915E-3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4.6792955900598553E-6</v>
      </c>
      <c r="L116" s="1">
        <f>'[2]Electricity and CHPs_IN'!R$23/SUM('[2]Electricity and CHPs_IN'!R$22:R$23)*L84</f>
        <v>1.6357488050896155E-2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2.4376516909798186E-2</v>
      </c>
      <c r="G118" s="1">
        <f>'[1]Electricity and CHPs_IN'!M$23/SUM('[1]Electricity and CHPs_IN'!M$22:M$23)*G86</f>
        <v>6.6732897008762722E-4</v>
      </c>
      <c r="H118" s="1">
        <f>'[1]Electricity and CHPs_IN'!N$23/SUM('[1]Electricity and CHPs_IN'!N$22:N$23)*H86</f>
        <v>4.313407090308914E-3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1.6913890396115374E-2</v>
      </c>
      <c r="G120" s="1">
        <f>'[1]Electricity and CHPs_IN'!M$23/SUM('[1]Electricity and CHPs_IN'!M$22:M$23)*G88</f>
        <v>7.4810071735628364E-3</v>
      </c>
      <c r="H120" s="1">
        <f>'[1]Electricity and CHPs_IN'!N$23/SUM('[1]Electricity and CHPs_IN'!N$22:N$23)*H88</f>
        <v>2.5618596945638943E-2</v>
      </c>
      <c r="I120" s="1">
        <f>'[1]Electricity and CHPs_IN'!O$23/SUM('[1]Electricity and CHPs_IN'!O$22:O$23)*I88</f>
        <v>5.3133363411399358E-3</v>
      </c>
      <c r="J120" s="1">
        <f>'[2]Electricity and CHPs_IN'!P$23/SUM('[2]Electricity and CHPs_IN'!P$22:P$23)*J88</f>
        <v>0.11906950604281222</v>
      </c>
      <c r="K120" s="1">
        <f>'[2]Electricity and CHPs_IN'!Q$23/SUM('[2]Electricity and CHPs_IN'!Q$22:Q$23)*K88</f>
        <v>4.7108766692181114E-2</v>
      </c>
      <c r="L120" s="1">
        <f>'[2]Electricity and CHPs_IN'!R$23/SUM('[2]Electricity and CHPs_IN'!R$22:R$23)*L88</f>
        <v>0.26288616609691873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1.9694915425807064E-2</v>
      </c>
      <c r="L121" s="1">
        <f>'[2]Electricity and CHPs_IN'!R$23/SUM('[2]Electricity and CHPs_IN'!R$22:R$23)*L89</f>
        <v>0.15201620016760573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5.7989295493942109E-4</v>
      </c>
      <c r="K122" s="1">
        <f>'[2]Electricity and CHPs_IN'!Q$23/SUM('[2]Electricity and CHPs_IN'!Q$22:Q$23)*K90</f>
        <v>1.7902043010592553E-3</v>
      </c>
      <c r="L122" s="1">
        <f>'[2]Electricity and CHPs_IN'!R$23/SUM('[2]Electricity and CHPs_IN'!R$22:R$23)*L90</f>
        <v>5.0333099737767293E-4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1.0007520667455047E-3</v>
      </c>
      <c r="G123" s="1">
        <f>'[1]Electricity and CHPs_IN'!M$23/SUM('[1]Electricity and CHPs_IN'!M$22:M$23)*G91</f>
        <v>4.1497007901117626E-4</v>
      </c>
      <c r="H123" s="1">
        <f>'[1]Electricity and CHPs_IN'!N$23/SUM('[1]Electricity and CHPs_IN'!N$22:N$23)*H91</f>
        <v>9.5317803218782592E-4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1.1538981714400045E-3</v>
      </c>
      <c r="K123" s="1">
        <f>'[2]Electricity and CHPs_IN'!Q$23/SUM('[2]Electricity and CHPs_IN'!Q$22:Q$23)*K91</f>
        <v>8.5519467616999173E-4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1.3291435838806332E-3</v>
      </c>
      <c r="G125" s="1">
        <f>'[1]Electricity and CHPs_IN'!M$23/SUM('[1]Electricity and CHPs_IN'!M$22:M$23)*G93</f>
        <v>5.6839420289101568E-4</v>
      </c>
      <c r="H125" s="1">
        <f>'[1]Electricity and CHPs_IN'!N$23/SUM('[1]Electricity and CHPs_IN'!N$22:N$23)*H93</f>
        <v>2.092621302941633E-3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3.7249195094192426E-3</v>
      </c>
      <c r="K125" s="1">
        <f>'[2]Electricity and CHPs_IN'!Q$23/SUM('[2]Electricity and CHPs_IN'!Q$22:Q$23)*K93</f>
        <v>1.599979048313356E-3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0.95943960649442961</v>
      </c>
      <c r="G127" s="1">
        <f t="shared" si="123"/>
        <v>1.1064357631516968</v>
      </c>
      <c r="H127" s="1">
        <f t="shared" si="123"/>
        <v>1.1064075775951663</v>
      </c>
      <c r="I127" s="1">
        <f t="shared" si="123"/>
        <v>1.1068242607460734</v>
      </c>
      <c r="J127" s="1">
        <f t="shared" si="123"/>
        <v>1.1059991663876836</v>
      </c>
      <c r="K127" s="1">
        <f t="shared" si="123"/>
        <v>1.1059952646560558</v>
      </c>
      <c r="L127" s="1">
        <f t="shared" ref="L127" si="124">L95</f>
        <v>1.1059960890383447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1.5006552448907215E-2</v>
      </c>
      <c r="G128" s="1">
        <f>'[1]Electricity and CHPs_IN'!M$23/SUM('[1]Electricity and CHPs_IN'!M$22:M$23)*G96</f>
        <v>2.1650629512159451E-2</v>
      </c>
      <c r="H128" s="1">
        <f>'[1]Electricity and CHPs_IN'!N$23/SUM('[1]Electricity and CHPs_IN'!N$22:N$23)*H96</f>
        <v>2.9033060549741706E-2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1.3610532205252776E-3</v>
      </c>
      <c r="K128" s="1">
        <f>'[2]Electricity and CHPs_IN'!Q$23/SUM('[2]Electricity and CHPs_IN'!Q$22:Q$23)*K96</f>
        <v>5.47737826468551E-4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8.2847209097024663</v>
      </c>
      <c r="G130" s="1">
        <f t="shared" ref="G130:K130" si="125">SUM(G131:G136)</f>
        <v>8.9820322652398144</v>
      </c>
      <c r="H130" s="1">
        <f t="shared" si="125"/>
        <v>9.7277789485674226</v>
      </c>
      <c r="I130" s="1">
        <f t="shared" si="125"/>
        <v>9.2792435410216623</v>
      </c>
      <c r="J130" s="1">
        <f t="shared" si="125"/>
        <v>8.927801528529038</v>
      </c>
      <c r="K130" s="1">
        <f t="shared" si="125"/>
        <v>10.02501249830215</v>
      </c>
      <c r="L130" s="1">
        <f t="shared" ref="L130" si="126">SUM(L131:L136)</f>
        <v>11.317327040499933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6.507014407313485</v>
      </c>
      <c r="G131" s="1">
        <f>'[1]Electricity and CHPs'!C19</f>
        <v>7.3098093015021393</v>
      </c>
      <c r="H131" s="1">
        <f>'[1]Electricity and CHPs'!D19</f>
        <v>8.3571361255006948</v>
      </c>
      <c r="I131" s="1">
        <f>'[1]Electricity and CHPs'!E19</f>
        <v>7.7711274439721532</v>
      </c>
      <c r="J131" s="1">
        <f>'[2]Electricity and CHPs'!F19</f>
        <v>7.4918644644938217</v>
      </c>
      <c r="K131" s="1">
        <f>'[2]Electricity and CHPs'!G19</f>
        <v>5.9279510903550143</v>
      </c>
      <c r="L131" s="1">
        <f>'[2]Electricity and CHPs'!H19</f>
        <v>3.2008978740503003E-3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2.3652458816063859</v>
      </c>
      <c r="L132" s="1">
        <f>'[2]Electricity and CHPs'!H20</f>
        <v>9.3307385272869361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1.5475618152654813</v>
      </c>
      <c r="G133" s="1">
        <f>'[1]Electricity and CHPs'!C26</f>
        <v>1.4286404573739921</v>
      </c>
      <c r="H133" s="1">
        <f>'[1]Electricity and CHPs'!D26</f>
        <v>1.3579177780170089</v>
      </c>
      <c r="I133" s="1">
        <f>'[1]Electricity and CHPs'!E26</f>
        <v>1.4936473504932808</v>
      </c>
      <c r="J133" s="1">
        <f>'[2]Electricity and CHPs'!F26</f>
        <v>1.4336323602549716</v>
      </c>
      <c r="K133" s="1">
        <f>'[2]Electricity and CHPs'!G26</f>
        <v>1.159752761359504</v>
      </c>
      <c r="L133" s="1">
        <f>'[2]Electricity and CHPs'!H26</f>
        <v>0.19723193848061413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0.39564412165669843</v>
      </c>
      <c r="L134" s="1">
        <f>'[2]Electricity and CHPs'!H27</f>
        <v>1.4943431126091675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0.23014468712349984</v>
      </c>
      <c r="G135" s="1">
        <f>'[1]Electricity and CHPs'!C44</f>
        <v>0.24358250636368389</v>
      </c>
      <c r="H135" s="1">
        <f>'[1]Electricity and CHPs'!D44</f>
        <v>1.2725045049717524E-2</v>
      </c>
      <c r="I135" s="1">
        <f>'[1]Electricity and CHPs'!E44</f>
        <v>1.446874655622681E-2</v>
      </c>
      <c r="J135" s="1">
        <f>'[2]Electricity and CHPs'!F44</f>
        <v>2.3047037802459576E-3</v>
      </c>
      <c r="K135" s="1">
        <f>'[2]Electricity and CHPs'!G44</f>
        <v>1.1390045818487939E-3</v>
      </c>
      <c r="L135" s="1">
        <f>'[2]Electricity and CHPs'!H44</f>
        <v>2.149268136721574E-4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0.17527963874269897</v>
      </c>
      <c r="L136" s="1">
        <f>'[2]Electricity and CHPs'!H45</f>
        <v>0.29159763743549139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4.0272881112894838</v>
      </c>
      <c r="G137" s="1">
        <f t="shared" ref="G137:K137" si="128">SUM(G138:G141)</f>
        <v>4.3692248794380655</v>
      </c>
      <c r="H137" s="1">
        <f t="shared" si="128"/>
        <v>4.8575269517588522</v>
      </c>
      <c r="I137" s="1">
        <f t="shared" si="128"/>
        <v>4.6323873972327174</v>
      </c>
      <c r="J137" s="1">
        <f t="shared" si="128"/>
        <v>4.4627484123743963</v>
      </c>
      <c r="K137" s="1">
        <f t="shared" si="128"/>
        <v>4.9242969274888013</v>
      </c>
      <c r="L137" s="1">
        <f t="shared" ref="L137" si="129">SUM(L138:L141)</f>
        <v>5.512757238125384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3.253507203656743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3.6549046507510692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4.1785680627503474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3.8855637219860766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3.7459322322469109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2.9639755451775072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1.6004489370251502E-3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1.182622940803193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4.665369263643468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0.77378090763274066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0.71432022868699607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0.67895888900850443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0.74682367524664039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0.71681618012748582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0.579876380679752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9.8615969240307064E-2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0.19782206082834922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0.74717155630458365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4.2574327984129825</v>
      </c>
      <c r="G144" s="1">
        <f t="shared" ref="G144:K144" si="130">SUM(G145:G150)</f>
        <v>4.6128073858017506</v>
      </c>
      <c r="H144" s="1">
        <f t="shared" si="130"/>
        <v>4.8702519968085696</v>
      </c>
      <c r="I144" s="1">
        <f t="shared" si="130"/>
        <v>4.646856143788944</v>
      </c>
      <c r="J144" s="1">
        <f t="shared" si="130"/>
        <v>4.4650531161546425</v>
      </c>
      <c r="K144" s="1">
        <f t="shared" si="130"/>
        <v>5.1007155708133496</v>
      </c>
      <c r="L144" s="1">
        <f t="shared" ref="L144" si="131">SUM(L145:L150)</f>
        <v>5.8045698023745471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3.2535072036567421</v>
      </c>
      <c r="G145" s="1">
        <f t="shared" ref="G145:K145" si="132">G131-G138</f>
        <v>3.6549046507510701</v>
      </c>
      <c r="H145" s="1">
        <f t="shared" si="132"/>
        <v>4.1785680627503474</v>
      </c>
      <c r="I145" s="1">
        <f t="shared" si="132"/>
        <v>3.8855637219860766</v>
      </c>
      <c r="J145" s="1">
        <f t="shared" si="132"/>
        <v>3.7459322322469109</v>
      </c>
      <c r="K145" s="1">
        <f t="shared" si="132"/>
        <v>2.9639755451775072</v>
      </c>
      <c r="L145" s="1">
        <f t="shared" ref="L145" si="133">L131-L138</f>
        <v>1.6004489370251502E-3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1.182622940803193</v>
      </c>
      <c r="L146" s="1">
        <f t="shared" ref="L146" si="135">L132-L139</f>
        <v>4.665369263643468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0.77378090763274066</v>
      </c>
      <c r="G147" s="1">
        <f t="shared" si="136"/>
        <v>0.71432022868699607</v>
      </c>
      <c r="H147" s="1">
        <f t="shared" si="136"/>
        <v>0.67895888900850443</v>
      </c>
      <c r="I147" s="1">
        <f t="shared" si="136"/>
        <v>0.74682367524664039</v>
      </c>
      <c r="J147" s="1">
        <f t="shared" si="136"/>
        <v>0.71681618012748582</v>
      </c>
      <c r="K147" s="1">
        <f t="shared" si="136"/>
        <v>0.579876380679752</v>
      </c>
      <c r="L147" s="1">
        <f t="shared" ref="L147" si="137">L133-L140</f>
        <v>9.8615969240307064E-2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0.19782206082834922</v>
      </c>
      <c r="L148" s="1">
        <f t="shared" ref="L148" si="139">L134-L141</f>
        <v>0.74717155630458387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0.23014468712349984</v>
      </c>
      <c r="G149" s="1">
        <f t="shared" si="140"/>
        <v>0.24358250636368389</v>
      </c>
      <c r="H149" s="1">
        <f t="shared" si="140"/>
        <v>1.2725045049717524E-2</v>
      </c>
      <c r="I149" s="1">
        <f t="shared" si="140"/>
        <v>1.446874655622681E-2</v>
      </c>
      <c r="J149" s="1">
        <f t="shared" si="140"/>
        <v>2.3047037802459576E-3</v>
      </c>
      <c r="K149" s="1">
        <f t="shared" si="140"/>
        <v>1.1390045818487939E-3</v>
      </c>
      <c r="L149" s="1">
        <f t="shared" ref="L149" si="141">L135-L142</f>
        <v>2.149268136721574E-4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0.17527963874269897</v>
      </c>
      <c r="L150" s="1">
        <f t="shared" ref="L150" si="146">L136-L143</f>
        <v>0.29159763743549139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0.17606907070598382</v>
      </c>
      <c r="G151" s="1">
        <f t="shared" ref="G151:K151" si="147">SUM(G152:G158)</f>
        <v>0.40967565430836023</v>
      </c>
      <c r="H151" s="1">
        <f t="shared" si="147"/>
        <v>1.2594549440972029</v>
      </c>
      <c r="I151" s="1">
        <f t="shared" si="147"/>
        <v>2.5999251526287721</v>
      </c>
      <c r="J151" s="1">
        <f t="shared" si="147"/>
        <v>3.8700603533062647</v>
      </c>
      <c r="K151" s="1">
        <f t="shared" si="147"/>
        <v>4.7829471783955428</v>
      </c>
      <c r="L151" s="1">
        <f t="shared" ref="L151" si="148">SUM(L152:L158)</f>
        <v>6.1274485904726079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3.5079983935050367E-3</v>
      </c>
      <c r="G152" s="1">
        <f>'[1]Electricity and CHPs'!C25</f>
        <v>6.9941105787251099E-3</v>
      </c>
      <c r="H152" s="1">
        <f>'[1]Electricity and CHPs'!D25</f>
        <v>8.7588826730875084E-3</v>
      </c>
      <c r="I152" s="1">
        <f>'[1]Electricity and CHPs'!E25</f>
        <v>5.6067726834903492E-2</v>
      </c>
      <c r="J152" s="1">
        <f>'[2]Electricity and CHPs'!F25</f>
        <v>0.8178260029448351</v>
      </c>
      <c r="K152" s="1">
        <f>'[2]Electricity and CHPs'!G25</f>
        <v>1.2195960641719037</v>
      </c>
      <c r="L152" s="1">
        <f>'[2]Electricity and CHPs'!H25</f>
        <v>1.3981231555184144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1.3520602217809373E-3</v>
      </c>
      <c r="L153" s="1">
        <f>'[2]Electricity and CHPs'!H31</f>
        <v>0.77397658287774418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0.17256107231247877</v>
      </c>
      <c r="G154" s="1">
        <f>'[1]Electricity and CHPs'!C42</f>
        <v>0.40268154372963511</v>
      </c>
      <c r="H154" s="1">
        <f>'[1]Electricity and CHPs'!D42</f>
        <v>1.2506960614241154</v>
      </c>
      <c r="I154" s="1">
        <f>'[1]Electricity and CHPs'!E42</f>
        <v>2.5438574257938686</v>
      </c>
      <c r="J154" s="1">
        <f>'[2]Electricity and CHPs'!F42</f>
        <v>2.7617001987391947</v>
      </c>
      <c r="K154" s="1">
        <f>'[2]Electricity and CHPs'!G42</f>
        <v>2.6772587040988087</v>
      </c>
      <c r="L154" s="1">
        <f>'[2]Electricity and CHPs'!H42</f>
        <v>2.5214277284491629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0.30290948501891618</v>
      </c>
      <c r="L155" s="1">
        <f>'[2]Electricity and CHPs'!H43</f>
        <v>1.3359401941376019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5.9697917314774961E-3</v>
      </c>
      <c r="K156" s="1">
        <f>'[2]Electricity and CHPs'!G50</f>
        <v>6.161549021937815E-3</v>
      </c>
      <c r="L156" s="1">
        <f>'[2]Electricity and CHPs'!H50</f>
        <v>2.3071947436806781E-3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0.28170114660877404</v>
      </c>
      <c r="K157" s="1">
        <f>'[2]Electricity and CHPs'!G53</f>
        <v>0.57386985672552404</v>
      </c>
      <c r="L157" s="1">
        <f>'[2]Electricity and CHPs'!H53</f>
        <v>9.4989362486047044E-2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2.8632132819830904E-3</v>
      </c>
      <c r="K158" s="1">
        <f>'[2]Electricity and CHPs'!G56</f>
        <v>1.7994591366708732E-3</v>
      </c>
      <c r="L158" s="1">
        <f>'[2]Electricity and CHPs'!H56</f>
        <v>6.843722599563526E-4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0.54530775595618142</v>
      </c>
      <c r="H159" s="1">
        <f t="shared" si="149"/>
        <v>0.50318035428973074</v>
      </c>
      <c r="I159" s="1">
        <f t="shared" si="149"/>
        <v>2.0503052471689203</v>
      </c>
      <c r="J159" s="1">
        <f t="shared" si="149"/>
        <v>3.6359136971127484</v>
      </c>
      <c r="K159" s="1">
        <f t="shared" si="149"/>
        <v>7.1993686268488046</v>
      </c>
      <c r="L159" s="1">
        <f t="shared" si="149"/>
        <v>28.866691214106275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0.54530775595618142</v>
      </c>
      <c r="H160" s="1">
        <f>'[1]Electricity and CHPs'!D33</f>
        <v>0.50318035428973074</v>
      </c>
      <c r="I160" s="1">
        <f>'[1]Electricity and CHPs'!E33</f>
        <v>2.0503052471689203</v>
      </c>
      <c r="J160" s="1">
        <f>'[2]Electricity and CHPs'!F33</f>
        <v>3.6359136971127484</v>
      </c>
      <c r="K160" s="1">
        <f>'[2]Electricity and CHPs'!G33</f>
        <v>7.1993686268488046</v>
      </c>
      <c r="L160" s="1">
        <f>'[2]Electricity and CHPs'!H33</f>
        <v>28.866691214106275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12.823119108238448</v>
      </c>
      <c r="H161" s="1">
        <f t="shared" si="150"/>
        <v>28.80018917143267</v>
      </c>
      <c r="I161" s="1">
        <f t="shared" si="150"/>
        <v>52.309468048653898</v>
      </c>
      <c r="J161" s="1">
        <f t="shared" si="150"/>
        <v>65.570233971815256</v>
      </c>
      <c r="K161" s="1">
        <f t="shared" si="150"/>
        <v>139.84976157963263</v>
      </c>
      <c r="L161" s="1">
        <f t="shared" ref="L161" si="151">SUM(L162:L166)</f>
        <v>152.87611308484162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0.14061592372971998</v>
      </c>
      <c r="I162" s="1">
        <f>'[1]Electricity and CHPs'!E34</f>
        <v>0.57957701760343749</v>
      </c>
      <c r="J162" s="1">
        <f>'[2]Electricity and CHPs'!F34</f>
        <v>2.1035432273841494</v>
      </c>
      <c r="K162" s="1">
        <f>'[2]Electricity and CHPs'!G34</f>
        <v>17.943283841422485</v>
      </c>
      <c r="L162" s="1">
        <f>'[2]Electricity and CHPs'!H34</f>
        <v>18.107481707106274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4.8486281142671022</v>
      </c>
      <c r="H163" s="1">
        <f>'[1]Electricity and CHPs'!D35</f>
        <v>11.161305651766572</v>
      </c>
      <c r="I163" s="1">
        <f>'[1]Electricity and CHPs'!E35</f>
        <v>19.477151131911679</v>
      </c>
      <c r="J163" s="1">
        <f>'[2]Electricity and CHPs'!F35</f>
        <v>30.162363785519243</v>
      </c>
      <c r="K163" s="1">
        <f>'[2]Electricity and CHPs'!G35</f>
        <v>40.847634641310947</v>
      </c>
      <c r="L163" s="1">
        <f>'[2]Electricity and CHPs'!H35</f>
        <v>45.121203699660143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3.3914827647697323</v>
      </c>
      <c r="H164" s="1">
        <f>'[1]Electricity and CHPs'!D36</f>
        <v>4.6620329377745984</v>
      </c>
      <c r="I164" s="1">
        <f>'[1]Electricity and CHPs'!E36</f>
        <v>11.187020787587855</v>
      </c>
      <c r="J164" s="1">
        <f>'[2]Electricity and CHPs'!F36</f>
        <v>11.802023245318566</v>
      </c>
      <c r="K164" s="1">
        <f>'[2]Electricity and CHPs'!G36</f>
        <v>12.452245881246762</v>
      </c>
      <c r="L164" s="1">
        <f>'[2]Electricity and CHPs'!H36</f>
        <v>13.863056583652925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1.2885477144662159</v>
      </c>
      <c r="H165" s="1">
        <f>'[1]Electricity and CHPs'!D37</f>
        <v>2.869986314729239</v>
      </c>
      <c r="I165" s="1">
        <f>'[1]Electricity and CHPs'!E37</f>
        <v>3.1633710222567237</v>
      </c>
      <c r="J165" s="1">
        <f>'[2]Electricity and CHPs'!F37</f>
        <v>2.6809187149518623</v>
      </c>
      <c r="K165" s="1">
        <f>'[2]Electricity and CHPs'!G37</f>
        <v>28.129712431015374</v>
      </c>
      <c r="L165" s="1">
        <f>'[2]Electricity and CHPs'!H37</f>
        <v>31.072706461563044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3.2944605147353974</v>
      </c>
      <c r="H166" s="1">
        <f>'[1]Electricity and CHPs'!D38</f>
        <v>9.9662483434325413</v>
      </c>
      <c r="I166" s="1">
        <f>'[1]Electricity and CHPs'!E38</f>
        <v>17.9023480892942</v>
      </c>
      <c r="J166" s="1">
        <f>'[2]Electricity and CHPs'!F38</f>
        <v>18.821384998641435</v>
      </c>
      <c r="K166" s="1">
        <f>'[2]Electricity and CHPs'!G38</f>
        <v>40.476884784637036</v>
      </c>
      <c r="L166" s="1">
        <f>'[2]Electricity and CHPs'!H38</f>
        <v>44.711664632859254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1.1677397642685474</v>
      </c>
      <c r="L167" s="1">
        <f>'[2]Electricity and CHPs'!H32</f>
        <v>7.4589153396247143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1.1677397642685474</v>
      </c>
      <c r="L168" s="1">
        <f t="shared" ref="L168" si="156">L167</f>
        <v>7.4589153396247143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4.153084339351247E-2</v>
      </c>
      <c r="J169" s="1">
        <f t="shared" si="157"/>
        <v>1.6802374645576809E-2</v>
      </c>
      <c r="K169" s="1">
        <f t="shared" si="157"/>
        <v>0.19674869426405914</v>
      </c>
      <c r="L169" s="1">
        <f t="shared" ref="L169" si="158">SUM(L170:L172)</f>
        <v>0.42588628135142842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4.6438367291437238E-3</v>
      </c>
      <c r="L170" s="1">
        <f>'[2]Electricity and CHPs'!H30</f>
        <v>0.24464044247110589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1.0883168147294191E-2</v>
      </c>
      <c r="K171" s="1">
        <f>'[2]Electricity and CHPs'!G46</f>
        <v>0.18147735201742932</v>
      </c>
      <c r="L171" s="1">
        <f>'[2]Electricity and CHPs'!H46</f>
        <v>0.16930178017899367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4.153084339351247E-2</v>
      </c>
      <c r="J172" s="1">
        <f>'[2]Electricity and CHPs'!F57</f>
        <v>5.9192064982826198E-3</v>
      </c>
      <c r="K172" s="1">
        <f>'[2]Electricity and CHPs'!G57</f>
        <v>1.0627505517486082E-2</v>
      </c>
      <c r="L172" s="1">
        <f>'[2]Electricity and CHPs'!H57</f>
        <v>1.1944058701328874E-2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0.37851332746090666</v>
      </c>
      <c r="G173" s="1">
        <f t="shared" ref="G173:K173" si="160">SUM(G174:G180)</f>
        <v>0.31251024648786618</v>
      </c>
      <c r="H173" s="1">
        <f t="shared" si="160"/>
        <v>0.88174435354221603</v>
      </c>
      <c r="I173" s="1">
        <f t="shared" si="160"/>
        <v>2.1107445865699437</v>
      </c>
      <c r="J173" s="1">
        <f t="shared" si="160"/>
        <v>1.7986480769239312</v>
      </c>
      <c r="K173" s="1">
        <f t="shared" si="160"/>
        <v>5.2307152726825734</v>
      </c>
      <c r="L173" s="1">
        <f t="shared" ref="L173" si="161">SUM(L174:L180)</f>
        <v>8.0896039424723849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9.9717135625453548E-2</v>
      </c>
      <c r="G174" s="1">
        <f>'[1]Electricity and CHPs'!C70</f>
        <v>4.6896170324756133E-2</v>
      </c>
      <c r="H174" s="1">
        <f>'[1]Electricity and CHPs'!D70</f>
        <v>6.7124356785342967E-2</v>
      </c>
      <c r="I174" s="1">
        <f>'[1]Electricity and CHPs'!E70</f>
        <v>9.463092686678605E-2</v>
      </c>
      <c r="J174" s="1">
        <f>'[2]Electricity and CHPs'!F70</f>
        <v>1.2491946699796801E-2</v>
      </c>
      <c r="K174" s="1">
        <f>'[2]Electricity and CHPs'!G70</f>
        <v>1.9720798868560381E-2</v>
      </c>
      <c r="L174" s="1">
        <f>'[2]Electricity and CHPs'!H70</f>
        <v>8.4865833890591921E-2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6.5281552500512124E-2</v>
      </c>
      <c r="G175" s="1">
        <f>'[1]Electricity and CHPs'!C71</f>
        <v>6.1819133058506948E-2</v>
      </c>
      <c r="H175" s="1">
        <f>'[1]Electricity and CHPs'!D71</f>
        <v>6.3527400894878738E-2</v>
      </c>
      <c r="I175" s="1">
        <f>'[1]Electricity and CHPs'!E71</f>
        <v>0.18716294914312429</v>
      </c>
      <c r="J175" s="1">
        <f>'[2]Electricity and CHPs'!F71</f>
        <v>0.17498099052936214</v>
      </c>
      <c r="K175" s="1">
        <f>'[2]Electricity and CHPs'!G71</f>
        <v>1.7900639036800472</v>
      </c>
      <c r="L175" s="1">
        <f>'[2]Electricity and CHPs'!H71</f>
        <v>2.6207956794040963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6.6159788967022293E-2</v>
      </c>
      <c r="G176" s="1">
        <f>'[1]Electricity and CHPs'!C72</f>
        <v>5.603376658909813E-2</v>
      </c>
      <c r="H176" s="1">
        <f>'[1]Electricity and CHPs'!D72</f>
        <v>5.776570356781402E-2</v>
      </c>
      <c r="I176" s="1">
        <f>'[1]Electricity and CHPs'!E72</f>
        <v>0.12783120503251952</v>
      </c>
      <c r="J176" s="1">
        <f>'[2]Electricity and CHPs'!F72</f>
        <v>0.11113547129349351</v>
      </c>
      <c r="K176" s="1">
        <f>'[2]Electricity and CHPs'!G72</f>
        <v>1.3811952344451206</v>
      </c>
      <c r="L176" s="1">
        <f>'[2]Electricity and CHPs'!H72</f>
        <v>2.6583565438757244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2.4299972021673343E-2</v>
      </c>
      <c r="G177" s="1">
        <f>'[1]Electricity and CHPs'!C73</f>
        <v>2.4394370907758912E-2</v>
      </c>
      <c r="H177" s="1">
        <f>'[1]Electricity and CHPs'!D73</f>
        <v>0.13167801759902142</v>
      </c>
      <c r="I177" s="1">
        <f>'[1]Electricity and CHPs'!E73</f>
        <v>0.28044231849520646</v>
      </c>
      <c r="J177" s="1">
        <f>'[2]Electricity and CHPs'!F73</f>
        <v>0.34751597739373535</v>
      </c>
      <c r="K177" s="1">
        <f>'[2]Electricity and CHPs'!G73</f>
        <v>0.32485158087905663</v>
      </c>
      <c r="L177" s="1">
        <f>'[2]Electricity and CHPs'!H73</f>
        <v>0.42525067835887498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5.1266319642339492E-2</v>
      </c>
      <c r="G178" s="1">
        <f>'[1]Electricity and CHPs'!C74</f>
        <v>5.1392459042663659E-2</v>
      </c>
      <c r="H178" s="1">
        <f>'[1]Electricity and CHPs'!D74</f>
        <v>0.28596347365523234</v>
      </c>
      <c r="I178" s="1">
        <f>'[1]Electricity and CHPs'!E74</f>
        <v>0.81663865986003947</v>
      </c>
      <c r="J178" s="1">
        <f>'[2]Electricity and CHPs'!F74</f>
        <v>0.65839536143242539</v>
      </c>
      <c r="K178" s="1">
        <f>'[2]Electricity and CHPs'!G74</f>
        <v>0.54489434093390698</v>
      </c>
      <c r="L178" s="1">
        <f>'[2]Electricity and CHPs'!H74</f>
        <v>0.74610882221243369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4.6514744505135805E-2</v>
      </c>
      <c r="G179" s="1">
        <f>'[1]Electricity and CHPs'!C75</f>
        <v>4.6633373971838789E-2</v>
      </c>
      <c r="H179" s="1">
        <f>'[1]Electricity and CHPs'!D75</f>
        <v>8.9337674316246021E-2</v>
      </c>
      <c r="I179" s="1">
        <f>'[1]Electricity and CHPs'!E75</f>
        <v>9.1715330631372854E-2</v>
      </c>
      <c r="J179" s="1">
        <f>'[2]Electricity and CHPs'!F75</f>
        <v>6.8467750234762648E-2</v>
      </c>
      <c r="K179" s="1">
        <f>'[2]Electricity and CHPs'!G75</f>
        <v>0.47954365517685765</v>
      </c>
      <c r="L179" s="1">
        <f>'[2]Electricity and CHPs'!H75</f>
        <v>0.63062223008384244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2.527381419877003E-2</v>
      </c>
      <c r="G180" s="1">
        <f>'[1]Electricity and CHPs'!C76</f>
        <v>2.5340972593243589E-2</v>
      </c>
      <c r="H180" s="1">
        <f>'[1]Electricity and CHPs'!D76</f>
        <v>0.18634772672368052</v>
      </c>
      <c r="I180" s="1">
        <f>'[1]Electricity and CHPs'!E76</f>
        <v>0.51232319654089487</v>
      </c>
      <c r="J180" s="1">
        <f>'[2]Electricity and CHPs'!F76</f>
        <v>0.42566057934035528</v>
      </c>
      <c r="K180" s="1">
        <f>'[2]Electricity and CHPs'!G76</f>
        <v>0.69044575869902403</v>
      </c>
      <c r="L180" s="1">
        <f>'[2]Electricity and CHPs'!H76</f>
        <v>0.92360415464682133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31.268150691627906</v>
      </c>
      <c r="G181" s="3">
        <f t="shared" ref="G181:K181" si="162">SUM(G182,G233)</f>
        <v>37.364487419428727</v>
      </c>
      <c r="H181" s="3">
        <f t="shared" si="162"/>
        <v>35.683794594032136</v>
      </c>
      <c r="I181" s="3">
        <f t="shared" si="162"/>
        <v>38.000250015398784</v>
      </c>
      <c r="J181" s="3">
        <f t="shared" si="162"/>
        <v>40.254171265055376</v>
      </c>
      <c r="K181" s="3">
        <f t="shared" si="162"/>
        <v>41.324067437864571</v>
      </c>
      <c r="L181" s="3">
        <f t="shared" ref="L181" si="163">SUM(L182,L233)</f>
        <v>45.27347299945837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24.50972168360876</v>
      </c>
      <c r="G182" s="1">
        <f t="shared" si="164"/>
        <v>29.341363890934055</v>
      </c>
      <c r="H182" s="1">
        <f t="shared" si="164"/>
        <v>27.745309528849006</v>
      </c>
      <c r="I182" s="1">
        <f t="shared" si="164"/>
        <v>29.864063287268948</v>
      </c>
      <c r="J182" s="1">
        <f t="shared" si="164"/>
        <v>30.470341167730133</v>
      </c>
      <c r="K182" s="1">
        <f t="shared" si="164"/>
        <v>31.256247908858761</v>
      </c>
      <c r="L182" s="1">
        <f t="shared" ref="L182" si="165">L183+L210</f>
        <v>34.026944960210642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16.337933558645258</v>
      </c>
      <c r="G183" s="1">
        <f t="shared" si="166"/>
        <v>13.601489537657892</v>
      </c>
      <c r="H183" s="1">
        <f t="shared" si="166"/>
        <v>13.079391869944322</v>
      </c>
      <c r="I183" s="1">
        <f t="shared" si="166"/>
        <v>13.588301370806315</v>
      </c>
      <c r="J183" s="1">
        <f t="shared" si="166"/>
        <v>14.487434447678861</v>
      </c>
      <c r="K183" s="1">
        <f t="shared" si="166"/>
        <v>16.308333493745547</v>
      </c>
      <c r="L183" s="1">
        <f t="shared" ref="L183" si="167">SUM(L185,L189,L190,L198,L199,L207,L209)</f>
        <v>17.362396457725069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9.436691951707139E-3</v>
      </c>
      <c r="G184" s="1">
        <f t="shared" ref="G184:L184" si="168">G185</f>
        <v>1.2602236231020103E-2</v>
      </c>
      <c r="H184" s="1">
        <f t="shared" si="168"/>
        <v>4.3501411046161162E-2</v>
      </c>
      <c r="I184" s="1">
        <f t="shared" si="168"/>
        <v>9.7916931219493644E-3</v>
      </c>
      <c r="J184" s="1">
        <f t="shared" si="168"/>
        <v>5.4830808639023329E-3</v>
      </c>
      <c r="K184" s="1">
        <f t="shared" si="168"/>
        <v>2.3787411047994102E-3</v>
      </c>
      <c r="L184" s="1">
        <f t="shared" si="168"/>
        <v>7.351847783747198E-5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9.436691951707139E-3</v>
      </c>
      <c r="G185" s="1">
        <f>'[1]Electricity and CHPs'!C$94</f>
        <v>1.2602236231020103E-2</v>
      </c>
      <c r="H185" s="1">
        <f>'[1]Electricity and CHPs'!D$94</f>
        <v>4.3501411046161162E-2</v>
      </c>
      <c r="I185" s="1">
        <f>'[1]Electricity and CHPs'!E$94</f>
        <v>9.7916931219493644E-3</v>
      </c>
      <c r="J185" s="1">
        <f>'[2]Electricity and CHPs'!F$94</f>
        <v>5.4830808639023329E-3</v>
      </c>
      <c r="K185" s="1">
        <f>'[2]Electricity and CHPs'!G$94</f>
        <v>2.3787411047994102E-3</v>
      </c>
      <c r="L185" s="1">
        <f>'[2]Electricity and CHPs'!H$94</f>
        <v>7.351847783747198E-5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9.436691951707139E-3</v>
      </c>
      <c r="G186" s="1">
        <f t="shared" ref="G186:K186" si="169">G185-G187</f>
        <v>1.2602236231020103E-2</v>
      </c>
      <c r="H186" s="1">
        <f t="shared" si="169"/>
        <v>4.3501411046161162E-2</v>
      </c>
      <c r="I186" s="1">
        <f t="shared" si="169"/>
        <v>9.7916931219493644E-3</v>
      </c>
      <c r="J186" s="1">
        <f t="shared" si="169"/>
        <v>5.4830808639023329E-3</v>
      </c>
      <c r="K186" s="1">
        <f t="shared" si="169"/>
        <v>2.3787411047994102E-3</v>
      </c>
      <c r="L186" s="1">
        <f t="shared" ref="L186" si="170">L185-L187</f>
        <v>7.351847783747198E-5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1.8036467630566795</v>
      </c>
      <c r="G188" s="1">
        <f t="shared" ref="G188:K188" si="173">SUM(G189:G190)</f>
        <v>3.7114377824545387E-2</v>
      </c>
      <c r="H188" s="1">
        <f t="shared" si="173"/>
        <v>0.15994218272706601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1.8036467630566795</v>
      </c>
      <c r="G189" s="1">
        <f>'[1]Electricity and CHPs'!C$91</f>
        <v>3.7114377824545387E-2</v>
      </c>
      <c r="H189" s="1">
        <f>'[1]Electricity and CHPs'!D$91</f>
        <v>0.15994218272706601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1.7581294496319546</v>
      </c>
      <c r="G191" s="1">
        <f t="shared" ref="G191:K191" si="175">SUM(G192:G193)</f>
        <v>3.5832068528575435E-2</v>
      </c>
      <c r="H191" s="1">
        <f t="shared" si="175"/>
        <v>0.15130244438238422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1.7581294496319546</v>
      </c>
      <c r="G192" s="1">
        <f t="shared" ref="G192:K192" si="177">G189-G195</f>
        <v>3.5832068528575435E-2</v>
      </c>
      <c r="H192" s="1">
        <f t="shared" si="177"/>
        <v>0.15130244438238422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4.5517313424724884E-2</v>
      </c>
      <c r="G194" s="1">
        <f t="shared" ref="G194:K194" si="181">SUM(G195:G196)</f>
        <v>1.2823092959699492E-3</v>
      </c>
      <c r="H194" s="1">
        <f t="shared" si="181"/>
        <v>8.6397383446817876E-3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4.5517313424724884E-2</v>
      </c>
      <c r="G195" s="1">
        <f t="shared" si="183"/>
        <v>1.2823092959699492E-3</v>
      </c>
      <c r="H195" s="1">
        <f t="shared" si="183"/>
        <v>8.6397383446817876E-3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14.461386032860608</v>
      </c>
      <c r="G197" s="1">
        <f t="shared" ref="G197:K197" si="186">SUM(G198:G199)</f>
        <v>13.06429502478572</v>
      </c>
      <c r="H197" s="1">
        <f t="shared" si="186"/>
        <v>12.384524026407272</v>
      </c>
      <c r="I197" s="1">
        <f t="shared" si="186"/>
        <v>13.423956535214588</v>
      </c>
      <c r="J197" s="1">
        <f t="shared" si="186"/>
        <v>12.342963981975803</v>
      </c>
      <c r="K197" s="1">
        <f t="shared" si="186"/>
        <v>13.015976108592502</v>
      </c>
      <c r="L197" s="1">
        <f t="shared" ref="L197" si="187">SUM(L198:L199)</f>
        <v>13.24286586089366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14.461386032860608</v>
      </c>
      <c r="G198" s="1">
        <f>'[1]Electricity and CHPs'!C$93-G199</f>
        <v>13.06429502478572</v>
      </c>
      <c r="H198" s="1">
        <f>'[1]Electricity and CHPs'!D$93-H199</f>
        <v>12.384524026407272</v>
      </c>
      <c r="I198" s="1">
        <f>'[1]Electricity and CHPs'!E$93-I199</f>
        <v>13.423956535214588</v>
      </c>
      <c r="J198" s="1">
        <f>'[2]Electricity and CHPs'!F$93-J199</f>
        <v>12.342963981975803</v>
      </c>
      <c r="K198" s="1">
        <f>'[2]Electricity and CHPs'!G$93-K199</f>
        <v>9.3037780484706047</v>
      </c>
      <c r="L198" s="1">
        <f>'[2]Electricity and CHPs'!H$93-L199</f>
        <v>2.985883176434001E-3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3.7121980601218976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13.239879977717226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7.2306930164303038</v>
      </c>
      <c r="G200" s="1">
        <f t="shared" ref="G200:K200" si="188">SUM(G201:G202)</f>
        <v>6.5321475123928598</v>
      </c>
      <c r="H200" s="1">
        <f t="shared" si="188"/>
        <v>6.1922620132036359</v>
      </c>
      <c r="I200" s="1">
        <f t="shared" si="188"/>
        <v>6.7119782676072939</v>
      </c>
      <c r="J200" s="1">
        <f t="shared" si="188"/>
        <v>6.1714819909879015</v>
      </c>
      <c r="K200" s="1">
        <f t="shared" si="188"/>
        <v>6.5079880542962512</v>
      </c>
      <c r="L200" s="1">
        <f t="shared" ref="L200" si="189">SUM(L201:L202)</f>
        <v>6.6214329304468293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7.2306930164303038</v>
      </c>
      <c r="G201" s="1">
        <f t="shared" si="190"/>
        <v>6.5321475123928598</v>
      </c>
      <c r="H201" s="1">
        <f t="shared" si="190"/>
        <v>6.1922620132036359</v>
      </c>
      <c r="I201" s="1">
        <f t="shared" si="190"/>
        <v>6.7119782676072939</v>
      </c>
      <c r="J201" s="1">
        <f t="shared" si="190"/>
        <v>6.1714819909879015</v>
      </c>
      <c r="K201" s="1">
        <f t="shared" si="190"/>
        <v>4.6518890242353024</v>
      </c>
      <c r="L201" s="1">
        <f t="shared" ref="L201" si="191">L198*L140/L133</f>
        <v>1.4929415882170005E-3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1.8560990300609488</v>
      </c>
      <c r="L202" s="1">
        <f t="shared" ref="L202" si="193">L199*IFERROR(L141/L134,0)</f>
        <v>6.6199399888586123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7.2306930164303038</v>
      </c>
      <c r="G203" s="1">
        <f t="shared" ref="G203:K203" si="194">SUM(G204:G205)</f>
        <v>6.5321475123928598</v>
      </c>
      <c r="H203" s="1">
        <f t="shared" si="194"/>
        <v>6.1922620132036359</v>
      </c>
      <c r="I203" s="1">
        <f t="shared" si="194"/>
        <v>6.7119782676072939</v>
      </c>
      <c r="J203" s="1">
        <f t="shared" si="194"/>
        <v>6.1714819909879015</v>
      </c>
      <c r="K203" s="1">
        <f t="shared" si="194"/>
        <v>6.5079880542962512</v>
      </c>
      <c r="L203" s="1">
        <f t="shared" ref="L203" si="195">SUM(L204:L205)</f>
        <v>6.6214329304468311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7.2306930164303038</v>
      </c>
      <c r="G204" s="1">
        <f t="shared" si="196"/>
        <v>6.5321475123928598</v>
      </c>
      <c r="H204" s="1">
        <f t="shared" si="196"/>
        <v>6.1922620132036359</v>
      </c>
      <c r="I204" s="1">
        <f t="shared" si="196"/>
        <v>6.7119782676072939</v>
      </c>
      <c r="J204" s="1">
        <f t="shared" si="196"/>
        <v>6.1714819909879015</v>
      </c>
      <c r="K204" s="1">
        <f t="shared" si="196"/>
        <v>4.6518890242353024</v>
      </c>
      <c r="L204" s="1">
        <f t="shared" ref="L204" si="197">L198-L201</f>
        <v>1.4929415882170005E-3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1.8560990300609488</v>
      </c>
      <c r="L205" s="1">
        <f t="shared" ref="L205" si="198">L199-L202</f>
        <v>6.6199399888586141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6.3464070776262399E-2</v>
      </c>
      <c r="G206" s="1">
        <f t="shared" ref="G206:L206" si="199">G207</f>
        <v>0.48747789881660691</v>
      </c>
      <c r="H206" s="1">
        <f t="shared" si="199"/>
        <v>0.49142424976382193</v>
      </c>
      <c r="I206" s="1">
        <f t="shared" si="199"/>
        <v>0.15455314246977811</v>
      </c>
      <c r="J206" s="1">
        <f t="shared" si="199"/>
        <v>2.1389873848391563</v>
      </c>
      <c r="K206" s="1">
        <f t="shared" si="199"/>
        <v>3.2843396994485698</v>
      </c>
      <c r="L206" s="1">
        <f t="shared" si="199"/>
        <v>3.8107441390447949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6.3464070776262399E-2</v>
      </c>
      <c r="G207" s="1">
        <f>'[1]Electricity and CHPs'!C$92</f>
        <v>0.48747789881660691</v>
      </c>
      <c r="H207" s="1">
        <f>'[1]Electricity and CHPs'!D$92</f>
        <v>0.49142424976382193</v>
      </c>
      <c r="I207" s="1">
        <f>'[1]Electricity and CHPs'!E$92</f>
        <v>0.15455314246977811</v>
      </c>
      <c r="J207" s="1">
        <f>'[2]Electricity and CHPs'!F$92</f>
        <v>2.1389873848391563</v>
      </c>
      <c r="K207" s="1">
        <f>'[2]Electricity and CHPs'!G$92</f>
        <v>3.2843396994485698</v>
      </c>
      <c r="L207" s="1">
        <f>'[2]Electricity and CHPs'!H$92</f>
        <v>3.8107441390447949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5.6389445996744992E-3</v>
      </c>
      <c r="L208" s="1">
        <f t="shared" si="200"/>
        <v>0.3087129393087758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5.6389445996744992E-3</v>
      </c>
      <c r="L209" s="1">
        <f>'[2]Electricity and CHPs'!H$96</f>
        <v>0.3087129393087758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8.171788124963502</v>
      </c>
      <c r="G210" s="1">
        <f t="shared" ref="G210:K210" si="201">SUM(G211,G217,G219,G225,G227,G229,G231)</f>
        <v>15.739874353276161</v>
      </c>
      <c r="H210" s="1">
        <f t="shared" si="201"/>
        <v>14.665917658904682</v>
      </c>
      <c r="I210" s="1">
        <f t="shared" si="201"/>
        <v>16.275761916462631</v>
      </c>
      <c r="J210" s="1">
        <f t="shared" si="201"/>
        <v>15.982906720051272</v>
      </c>
      <c r="K210" s="1">
        <f t="shared" si="201"/>
        <v>14.947914415113214</v>
      </c>
      <c r="L210" s="1">
        <f t="shared" ref="L210" si="202">SUM(L211,L217,L219,L225,L227,L229,L231)</f>
        <v>16.66454850248557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2.634992859865243</v>
      </c>
      <c r="G211" s="1">
        <f t="shared" ref="G211:L211" si="203">+G212</f>
        <v>1.6024256132703618</v>
      </c>
      <c r="H211" s="1">
        <f t="shared" si="203"/>
        <v>0.97426754706443208</v>
      </c>
      <c r="I211" s="1">
        <f t="shared" si="203"/>
        <v>0.90182760903795767</v>
      </c>
      <c r="J211" s="1">
        <f t="shared" si="203"/>
        <v>0.9017901451920407</v>
      </c>
      <c r="K211" s="1">
        <f t="shared" si="203"/>
        <v>0.90178609115273412</v>
      </c>
      <c r="L211" s="1">
        <f t="shared" si="203"/>
        <v>0.90179598438975528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2.634992859865243</v>
      </c>
      <c r="G212" s="1">
        <f>'[1]Electricity and CHPs'!C$97+G216</f>
        <v>1.6024256132703618</v>
      </c>
      <c r="H212" s="1">
        <f>'[1]Electricity and CHPs'!D$97+H216</f>
        <v>0.97426754706443208</v>
      </c>
      <c r="I212" s="1">
        <f>'[1]Electricity and CHPs'!E$97+I216</f>
        <v>0.90182760903795767</v>
      </c>
      <c r="J212" s="1">
        <f>'[2]Electricity and CHPs'!F$97+J216</f>
        <v>0.9017901451920407</v>
      </c>
      <c r="K212" s="1">
        <f>'[2]Electricity and CHPs'!G$97+K216</f>
        <v>0.90178609115273412</v>
      </c>
      <c r="L212" s="1">
        <f>'[2]Electricity and CHPs'!H$97+L216</f>
        <v>0.90179598438975528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1.7331149429487605</v>
      </c>
      <c r="G213" s="1">
        <f t="shared" ref="G213:L213" si="204">G214</f>
        <v>0.7005986152711916</v>
      </c>
      <c r="H213" s="1">
        <f t="shared" si="204"/>
        <v>7.243294019272406E-2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1.7331149429487605</v>
      </c>
      <c r="G214" s="1">
        <f t="shared" ref="G214:K214" si="205">G212-G216</f>
        <v>0.7005986152711916</v>
      </c>
      <c r="H214" s="1">
        <f t="shared" si="205"/>
        <v>7.243294019272406E-2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0.90187791691648245</v>
      </c>
      <c r="G215" s="1">
        <f t="shared" ref="G215:L215" si="207">G216</f>
        <v>0.90182699799917021</v>
      </c>
      <c r="H215" s="1">
        <f t="shared" si="207"/>
        <v>0.90183460687170802</v>
      </c>
      <c r="I215" s="1">
        <f t="shared" si="207"/>
        <v>0.90182760903795767</v>
      </c>
      <c r="J215" s="1">
        <f t="shared" si="207"/>
        <v>0.9017901451920407</v>
      </c>
      <c r="K215" s="1">
        <f t="shared" si="207"/>
        <v>0.90178609115273412</v>
      </c>
      <c r="L215" s="1">
        <f t="shared" si="207"/>
        <v>0.90179598438975528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0.90187791691648245</v>
      </c>
      <c r="G216" s="1">
        <f>'[1]Electricity and CHPs'!C$98</f>
        <v>0.90182699799917021</v>
      </c>
      <c r="H216" s="1">
        <f>'[1]Electricity and CHPs'!D$98</f>
        <v>0.90183460687170802</v>
      </c>
      <c r="I216" s="1">
        <f>'[1]Electricity and CHPs'!E$98</f>
        <v>0.90182760903795767</v>
      </c>
      <c r="J216" s="1">
        <f>'[2]Electricity and CHPs'!F$98</f>
        <v>0.9017901451920407</v>
      </c>
      <c r="K216" s="1">
        <f>'[2]Electricity and CHPs'!G$98</f>
        <v>0.90178609115273412</v>
      </c>
      <c r="L216" s="1">
        <f>'[2]Electricity and CHPs'!H$98</f>
        <v>0.90179598438975528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2.9006969043703221</v>
      </c>
      <c r="G217" s="1">
        <f t="shared" ref="G217:L217" si="208">+G218</f>
        <v>7.6011446679458627</v>
      </c>
      <c r="H217" s="1">
        <f t="shared" si="208"/>
        <v>7.5220312876419371</v>
      </c>
      <c r="I217" s="1">
        <f t="shared" si="208"/>
        <v>2.1306640705997935</v>
      </c>
      <c r="J217" s="1">
        <f t="shared" si="208"/>
        <v>1.2993061074049099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2.9006969043703221</v>
      </c>
      <c r="G218" s="1">
        <f>'[1]Electricity and CHPs'!C$99</f>
        <v>7.6011446679458627</v>
      </c>
      <c r="H218" s="1">
        <f>'[1]Electricity and CHPs'!D$99</f>
        <v>7.5220312876419371</v>
      </c>
      <c r="I218" s="1">
        <f>'[1]Electricity and CHPs'!E$99</f>
        <v>2.1306640705997935</v>
      </c>
      <c r="J218" s="1">
        <f>'[2]Electricity and CHPs'!F$99</f>
        <v>1.2993061074049099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0.18434257993190098</v>
      </c>
      <c r="G219" s="1">
        <f t="shared" ref="G219:L219" si="209">+G220</f>
        <v>0.18378174247741455</v>
      </c>
      <c r="H219" s="1">
        <f t="shared" si="209"/>
        <v>7.1846489861079567E-3</v>
      </c>
      <c r="I219" s="1">
        <f t="shared" si="209"/>
        <v>8.9284904955794931E-3</v>
      </c>
      <c r="J219" s="1">
        <f t="shared" si="209"/>
        <v>1.3785713153177892E-4</v>
      </c>
      <c r="K219" s="1">
        <f t="shared" si="209"/>
        <v>2.1851311926684877E-4</v>
      </c>
      <c r="L219" s="1">
        <f t="shared" si="209"/>
        <v>9.6696998716484283E-6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0.18434257993190098</v>
      </c>
      <c r="G220" s="1">
        <f>'[1]Electricity and CHPs'!C$100</f>
        <v>0.18378174247741455</v>
      </c>
      <c r="H220" s="1">
        <f>'[1]Electricity and CHPs'!D$100</f>
        <v>7.1846489861079567E-3</v>
      </c>
      <c r="I220" s="1">
        <f>'[1]Electricity and CHPs'!E$100</f>
        <v>8.9284904955794931E-3</v>
      </c>
      <c r="J220" s="1">
        <f>'[2]Electricity and CHPs'!F$100</f>
        <v>1.3785713153177892E-4</v>
      </c>
      <c r="K220" s="1">
        <f>'[2]Electricity and CHPs'!G$100</f>
        <v>2.1851311926684877E-4</v>
      </c>
      <c r="L220" s="1">
        <f>'[2]Electricity and CHPs'!H$100</f>
        <v>9.6696998716484283E-6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0.18434257993190098</v>
      </c>
      <c r="G221" s="1">
        <f t="shared" ref="G221:L221" si="210">G222</f>
        <v>0.18378174247741455</v>
      </c>
      <c r="H221" s="1">
        <f t="shared" si="210"/>
        <v>7.1846489861079567E-3</v>
      </c>
      <c r="I221" s="1">
        <f t="shared" si="210"/>
        <v>8.9284904955794931E-3</v>
      </c>
      <c r="J221" s="1">
        <f t="shared" si="210"/>
        <v>1.3785713153177892E-4</v>
      </c>
      <c r="K221" s="1">
        <f t="shared" si="210"/>
        <v>2.1851311926684877E-4</v>
      </c>
      <c r="L221" s="1">
        <f t="shared" si="210"/>
        <v>9.6696998716484283E-6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0.18434257993190098</v>
      </c>
      <c r="G222" s="1">
        <f t="shared" ref="G222:K222" si="211">G220-G224</f>
        <v>0.18378174247741455</v>
      </c>
      <c r="H222" s="1">
        <f t="shared" si="211"/>
        <v>7.1846489861079567E-3</v>
      </c>
      <c r="I222" s="1">
        <f t="shared" si="211"/>
        <v>8.9284904955794931E-3</v>
      </c>
      <c r="J222" s="1">
        <f t="shared" si="211"/>
        <v>1.3785713153177892E-4</v>
      </c>
      <c r="K222" s="1">
        <f t="shared" si="211"/>
        <v>2.1851311926684877E-4</v>
      </c>
      <c r="L222" s="1">
        <f t="shared" ref="L222" si="212">L220-L224</f>
        <v>9.6696998716484283E-6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2.4517557807960362</v>
      </c>
      <c r="G225" s="1">
        <f t="shared" ref="G225:L225" si="214">+G226</f>
        <v>2.2126698813532819</v>
      </c>
      <c r="H225" s="1">
        <f t="shared" si="214"/>
        <v>1.8971086139180009</v>
      </c>
      <c r="I225" s="1">
        <f t="shared" si="214"/>
        <v>1.71362856189693</v>
      </c>
      <c r="J225" s="1">
        <f t="shared" si="214"/>
        <v>1.5842271085238864</v>
      </c>
      <c r="K225" s="1">
        <f t="shared" si="214"/>
        <v>1.225888850290302</v>
      </c>
      <c r="L225" s="1">
        <f t="shared" si="214"/>
        <v>1.6015104733813377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2.4517557807960362</v>
      </c>
      <c r="G226" s="1">
        <f>'[1]Electricity and CHPs'!C$101</f>
        <v>2.2126698813532819</v>
      </c>
      <c r="H226" s="1">
        <f>'[1]Electricity and CHPs'!D$101</f>
        <v>1.8971086139180009</v>
      </c>
      <c r="I226" s="1">
        <f>'[1]Electricity and CHPs'!E$101</f>
        <v>1.71362856189693</v>
      </c>
      <c r="J226" s="1">
        <f>'[2]Electricity and CHPs'!F$101</f>
        <v>1.5842271085238864</v>
      </c>
      <c r="K226" s="1">
        <f>'[2]Electricity and CHPs'!G$101</f>
        <v>1.225888850290302</v>
      </c>
      <c r="L226" s="1">
        <f>'[2]Electricity and CHPs'!H$101</f>
        <v>1.6015104733813377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1.2798217833901015E-3</v>
      </c>
      <c r="J227" s="1">
        <f t="shared" si="215"/>
        <v>1.2421190673452979E-4</v>
      </c>
      <c r="K227" s="1">
        <f t="shared" si="215"/>
        <v>1.2428682070868261E-4</v>
      </c>
      <c r="L227" s="1">
        <f t="shared" si="215"/>
        <v>1.2598952457133089E-4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1.2798217833901015E-3</v>
      </c>
      <c r="J228" s="1">
        <f>'[2]Electricity and CHPs'!F$102</f>
        <v>1.2421190673452979E-4</v>
      </c>
      <c r="K228" s="1">
        <f>'[2]Electricity and CHPs'!G$102</f>
        <v>1.2428682070868261E-4</v>
      </c>
      <c r="L228" s="1">
        <f>'[2]Electricity and CHPs'!H$102</f>
        <v>1.2598952457133089E-4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3.7359262075944917E-4</v>
      </c>
      <c r="L229" s="1">
        <f t="shared" si="216"/>
        <v>3.7747253440832505E-4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3.7359262075944917E-4</v>
      </c>
      <c r="L230" s="1">
        <f>'[2]Electricity and CHPs'!H$90</f>
        <v>3.7747253440832505E-4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4.1398524482292398</v>
      </c>
      <c r="H231" s="1">
        <f t="shared" si="217"/>
        <v>4.2653255612942047</v>
      </c>
      <c r="I231" s="1">
        <f t="shared" si="217"/>
        <v>11.51943336264898</v>
      </c>
      <c r="J231" s="1">
        <f t="shared" si="217"/>
        <v>12.197321289892168</v>
      </c>
      <c r="K231" s="1">
        <f t="shared" si="217"/>
        <v>12.819523081109443</v>
      </c>
      <c r="L231" s="1">
        <f t="shared" si="217"/>
        <v>14.160728912955626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4.1398524482292398</v>
      </c>
      <c r="H232" s="1">
        <f>'[1]Electricity and CHPs'!D$123</f>
        <v>4.2653255612942047</v>
      </c>
      <c r="I232" s="1">
        <f>'[1]Electricity and CHPs'!E$123</f>
        <v>11.51943336264898</v>
      </c>
      <c r="J232" s="1">
        <f>'[2]Electricity and CHPs'!F$123</f>
        <v>12.197321289892168</v>
      </c>
      <c r="K232" s="1">
        <f>'[2]Electricity and CHPs'!G$123</f>
        <v>12.819523081109443</v>
      </c>
      <c r="L232" s="1">
        <f>'[2]Electricity and CHPs'!H$123</f>
        <v>14.160728912955626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6.7584290080191467</v>
      </c>
      <c r="G233" s="1">
        <f t="shared" ref="G233:K233" si="218">SUM(G234,G240,G273,G282,G288)</f>
        <v>8.023123528494672</v>
      </c>
      <c r="H233" s="1">
        <f t="shared" si="218"/>
        <v>7.9384850651831282</v>
      </c>
      <c r="I233" s="1">
        <f t="shared" si="218"/>
        <v>8.1361867281298377</v>
      </c>
      <c r="J233" s="1">
        <f t="shared" si="218"/>
        <v>9.7838300973252466</v>
      </c>
      <c r="K233" s="1">
        <f t="shared" si="218"/>
        <v>10.067819529005813</v>
      </c>
      <c r="L233" s="1">
        <f t="shared" ref="L233" si="219">SUM(L234,L240,L273,L282,L288)</f>
        <v>11.246528039247728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0.9300285020017458</v>
      </c>
      <c r="G234" s="1">
        <f t="shared" ref="G234:L234" si="220">+G235</f>
        <v>2.0129949751913112</v>
      </c>
      <c r="H234" s="1">
        <f t="shared" si="220"/>
        <v>1.3104198277838217</v>
      </c>
      <c r="I234" s="1">
        <f t="shared" si="220"/>
        <v>1.2420320861859517</v>
      </c>
      <c r="J234" s="1">
        <f t="shared" si="220"/>
        <v>0.82750682522961438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0.9300285020017458</v>
      </c>
      <c r="G235" s="1">
        <f>'[1]Electricity and CHPs'!C$104</f>
        <v>2.0129949751913112</v>
      </c>
      <c r="H235" s="1">
        <f>'[1]Electricity and CHPs'!D$104</f>
        <v>1.3104198277838217</v>
      </c>
      <c r="I235" s="1">
        <f>'[1]Electricity and CHPs'!E$104</f>
        <v>1.2420320861859517</v>
      </c>
      <c r="J235" s="1">
        <f>'[2]Electricity and CHPs'!F$104</f>
        <v>0.82750682522961438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0.9300285020017458</v>
      </c>
      <c r="G236" s="1">
        <f t="shared" ref="G236:L236" si="221">G237</f>
        <v>2.0129949751913112</v>
      </c>
      <c r="H236" s="1">
        <f t="shared" si="221"/>
        <v>1.3104198277838217</v>
      </c>
      <c r="I236" s="1">
        <f t="shared" si="221"/>
        <v>1.2420320861859517</v>
      </c>
      <c r="J236" s="1">
        <f t="shared" si="221"/>
        <v>0.82750682522961438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0.9300285020017458</v>
      </c>
      <c r="G237" s="1">
        <f t="shared" ref="G237:K237" si="222">G235-G239</f>
        <v>2.0129949751913112</v>
      </c>
      <c r="H237" s="1">
        <f t="shared" si="222"/>
        <v>1.3104198277838217</v>
      </c>
      <c r="I237" s="1">
        <f t="shared" si="222"/>
        <v>1.2420320861859517</v>
      </c>
      <c r="J237" s="1">
        <f t="shared" si="222"/>
        <v>0.82750682522961438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3.2327930458800709</v>
      </c>
      <c r="G240" s="1">
        <f t="shared" ref="G240:K240" si="227">SUM(G241:G250)</f>
        <v>2.6405540594058534</v>
      </c>
      <c r="H240" s="1">
        <f t="shared" si="227"/>
        <v>2.8172325753872802</v>
      </c>
      <c r="I240" s="1">
        <f t="shared" si="227"/>
        <v>1.384172392571495</v>
      </c>
      <c r="J240" s="1">
        <f t="shared" si="227"/>
        <v>2.3196277907558462</v>
      </c>
      <c r="K240" s="1">
        <f t="shared" si="227"/>
        <v>1.2092240680585213</v>
      </c>
      <c r="L240" s="1">
        <f t="shared" ref="L240" si="228">SUM(L241:L250)</f>
        <v>1.7459880171515207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0.90562911982897554</v>
      </c>
      <c r="G241" s="1">
        <f>'[1]Electricity and CHPs_IN'!C$39*0.75-G88-G242</f>
        <v>0.24638617604288288</v>
      </c>
      <c r="H241" s="1">
        <f>'[1]Electricity and CHPs_IN'!D$39*0.75-H88-H242</f>
        <v>0.53893559510488798</v>
      </c>
      <c r="I241" s="1">
        <f>'[1]Electricity and CHPs_IN'!E$39*0.75-I88-I242</f>
        <v>5.9199724522254069E-2</v>
      </c>
      <c r="J241" s="1">
        <f>'[2]Electricity and CHPs'!F$103-J242</f>
        <v>1.0850979010509807</v>
      </c>
      <c r="K241" s="1">
        <f>'[2]Electricity and CHPs'!G$103-K242</f>
        <v>0.13156207161118541</v>
      </c>
      <c r="L241" s="1">
        <f>'[2]Electricity and CHPs'!H$103-L242</f>
        <v>0.46868159880087695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5.5002583501221787E-2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0.27101918977326772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1.5416342835396714E-3</v>
      </c>
      <c r="K243" s="1">
        <f>'[2]Electricity and CHPs'!G$107</f>
        <v>1.9843646649955141E-3</v>
      </c>
      <c r="L243" s="1">
        <f>'[2]Electricity and CHPs'!H$107</f>
        <v>3.2760546174175666E-4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9.5466489765268031E-2</v>
      </c>
      <c r="G244" s="1">
        <f>'[1]Electricity and CHPs'!C$109</f>
        <v>2.8622183062037208E-2</v>
      </c>
      <c r="H244" s="1">
        <f>'[1]Electricity and CHPs'!D$109</f>
        <v>4.1406476263365882E-2</v>
      </c>
      <c r="I244" s="1">
        <f>'[1]Electricity and CHPs'!E$109</f>
        <v>0</v>
      </c>
      <c r="J244" s="1">
        <f>'[2]Electricity and CHPs'!F$109</f>
        <v>1.4639043150921439E-2</v>
      </c>
      <c r="K244" s="1">
        <f>'[2]Electricity and CHPs'!G$109</f>
        <v>4.7353208351202155E-3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0.11441667339215134</v>
      </c>
      <c r="G246" s="1">
        <f>'[1]Electricity and CHPs'!C$112</f>
        <v>3.539099865800819E-2</v>
      </c>
      <c r="H246" s="1">
        <f>'[1]Electricity and CHPs'!D$112</f>
        <v>8.2109750926786962E-2</v>
      </c>
      <c r="I246" s="1">
        <f>'[1]Electricity and CHPs'!E$112</f>
        <v>0</v>
      </c>
      <c r="J246" s="1">
        <f>'[2]Electricity and CHPs'!F$112</f>
        <v>4.2581635837862411E-2</v>
      </c>
      <c r="K246" s="1">
        <f>'[2]Electricity and CHPs'!G$112</f>
        <v>7.954976093415873E-3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1.4244197113477317</v>
      </c>
      <c r="G248" s="1">
        <f>'[1]Electricity and CHPs'!C$115</f>
        <v>1.5790260566022303</v>
      </c>
      <c r="H248" s="1">
        <f>'[1]Electricity and CHPs'!D$115</f>
        <v>1.4835438423017189</v>
      </c>
      <c r="I248" s="1">
        <f>'[1]Electricity and CHPs'!E$115</f>
        <v>1.3249726680492411</v>
      </c>
      <c r="J248" s="1">
        <f>'[2]Electricity and CHPs'!F$115</f>
        <v>1.1649736873373264</v>
      </c>
      <c r="K248" s="1">
        <f>'[2]Electricity and CHPs'!G$115</f>
        <v>1.0059588732980693</v>
      </c>
      <c r="L248" s="1">
        <f>'[2]Electricity and CHPs'!H$115</f>
        <v>1.0059596231156345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0.69286105154594424</v>
      </c>
      <c r="G249" s="1">
        <f>'[1]Electricity and CHPs'!C$116</f>
        <v>0.75112864504069488</v>
      </c>
      <c r="H249" s="1">
        <f>'[1]Electricity and CHPs'!D$116</f>
        <v>0.67123691079052017</v>
      </c>
      <c r="I249" s="1">
        <f>'[1]Electricity and CHPs'!E$116</f>
        <v>0</v>
      </c>
      <c r="J249" s="1">
        <f>'[2]Electricity and CHPs'!F$116</f>
        <v>1.0793889095215533E-2</v>
      </c>
      <c r="K249" s="1">
        <f>'[2]Electricity and CHPs'!G$116</f>
        <v>2.0258780545131779E-3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1.7627367400822558</v>
      </c>
      <c r="G251" s="1">
        <f t="shared" ref="G251:K251" si="229">SUM(G252:G261)</f>
        <v>1.0248519945902437</v>
      </c>
      <c r="H251" s="1">
        <f t="shared" si="229"/>
        <v>1.2616456892140615</v>
      </c>
      <c r="I251" s="1">
        <f t="shared" si="229"/>
        <v>5.3128671674037745E-2</v>
      </c>
      <c r="J251" s="1">
        <f t="shared" si="229"/>
        <v>0.94844765974334466</v>
      </c>
      <c r="K251" s="1">
        <f t="shared" si="229"/>
        <v>0.12082980157864162</v>
      </c>
      <c r="L251" s="1">
        <f t="shared" ref="L251" si="230">SUM(L252:L261)</f>
        <v>0.28124899600773245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0.88277442048421373</v>
      </c>
      <c r="G252" s="1">
        <f t="shared" si="231"/>
        <v>0.23787348359167521</v>
      </c>
      <c r="H252" s="1">
        <f t="shared" si="231"/>
        <v>0.50982343440437228</v>
      </c>
      <c r="I252" s="1">
        <f t="shared" si="231"/>
        <v>5.3128671674037745E-2</v>
      </c>
      <c r="J252" s="1">
        <f t="shared" si="231"/>
        <v>0.89131330482197724</v>
      </c>
      <c r="K252" s="1">
        <f t="shared" si="231"/>
        <v>7.8206301018670404E-2</v>
      </c>
      <c r="L252" s="1">
        <f t="shared" ref="L252" si="232">L241-L263</f>
        <v>0.1781232046937557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3.2695962821365207E-2</v>
      </c>
      <c r="L253" s="1">
        <f t="shared" ref="L253" si="233">L242-L264</f>
        <v>0.10300128432486108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1.2663181329147625E-3</v>
      </c>
      <c r="K254" s="1">
        <f t="shared" si="231"/>
        <v>1.1795939241523617E-3</v>
      </c>
      <c r="L254" s="1">
        <f t="shared" ref="L254" si="234">L243-L265</f>
        <v>1.2450698911567785E-4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9.3057271826806634E-2</v>
      </c>
      <c r="G255" s="1">
        <f t="shared" ref="G255:K255" si="235">G244-G266</f>
        <v>2.7633280820838085E-2</v>
      </c>
      <c r="H255" s="1">
        <f t="shared" si="235"/>
        <v>3.9169786013232011E-2</v>
      </c>
      <c r="I255" s="1">
        <f t="shared" si="235"/>
        <v>0</v>
      </c>
      <c r="J255" s="1">
        <f t="shared" si="235"/>
        <v>1.2024697419137568E-2</v>
      </c>
      <c r="K255" s="1">
        <f t="shared" si="235"/>
        <v>2.8148836675805857E-3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0.1115292235375141</v>
      </c>
      <c r="G257" s="1">
        <f t="shared" si="239"/>
        <v>3.4168232462455518E-2</v>
      </c>
      <c r="H257" s="1">
        <f t="shared" si="239"/>
        <v>7.7674355889287672E-2</v>
      </c>
      <c r="I257" s="1">
        <f t="shared" si="239"/>
        <v>0</v>
      </c>
      <c r="J257" s="1">
        <f t="shared" si="239"/>
        <v>3.4977100708250226E-2</v>
      </c>
      <c r="K257" s="1">
        <f t="shared" si="239"/>
        <v>4.7287888320627133E-3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0.67537582423372122</v>
      </c>
      <c r="G260" s="1">
        <f t="shared" si="245"/>
        <v>0.72517699771527477</v>
      </c>
      <c r="H260" s="1">
        <f t="shared" si="245"/>
        <v>0.63497811290716966</v>
      </c>
      <c r="I260" s="1">
        <f t="shared" si="245"/>
        <v>0</v>
      </c>
      <c r="J260" s="1">
        <f t="shared" si="245"/>
        <v>8.8662386610647882E-3</v>
      </c>
      <c r="K260" s="1">
        <f t="shared" si="245"/>
        <v>1.2042713148103519E-3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1.4700563057978151</v>
      </c>
      <c r="G262" s="1">
        <f t="shared" ref="G262:K262" si="249">SUM(G263:G272)</f>
        <v>1.61570206481561</v>
      </c>
      <c r="H262" s="1">
        <f t="shared" si="249"/>
        <v>1.5555868861732183</v>
      </c>
      <c r="I262" s="1">
        <f t="shared" si="249"/>
        <v>1.3310437208974575</v>
      </c>
      <c r="J262" s="1">
        <f t="shared" si="249"/>
        <v>1.3711801310125016</v>
      </c>
      <c r="K262" s="1">
        <f t="shared" si="249"/>
        <v>1.0883942664798798</v>
      </c>
      <c r="L262" s="1">
        <f t="shared" ref="L262" si="250">SUM(L263:L272)</f>
        <v>1.4647390211437885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2.2854699344761784E-2</v>
      </c>
      <c r="G263" s="1">
        <f t="shared" si="251"/>
        <v>8.5126924512076776E-3</v>
      </c>
      <c r="H263" s="1">
        <f t="shared" si="251"/>
        <v>2.9112160700515737E-2</v>
      </c>
      <c r="I263" s="1">
        <f t="shared" si="251"/>
        <v>6.0710528482163205E-3</v>
      </c>
      <c r="J263" s="1">
        <f t="shared" si="251"/>
        <v>0.19378459622900343</v>
      </c>
      <c r="K263" s="1">
        <f t="shared" si="251"/>
        <v>5.3355770592515013E-2</v>
      </c>
      <c r="L263" s="1">
        <f t="shared" ref="L263" si="252">L241*IFERROR(L120/L88,0)</f>
        <v>0.29055839410712125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2.2306620679856583E-2</v>
      </c>
      <c r="L264" s="1">
        <f t="shared" ref="L264" si="253">L242*IFERROR(L121/L89,0)</f>
        <v>0.16801790544840664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2.7531615062490882E-4</v>
      </c>
      <c r="K265" s="1">
        <f t="shared" si="251"/>
        <v>8.0477074084315246E-4</v>
      </c>
      <c r="L265" s="1">
        <f t="shared" ref="L265" si="254">L243*IFERROR(L122/L90,0)</f>
        <v>2.0309847262607882E-4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2.4092179384614027E-3</v>
      </c>
      <c r="G266" s="1">
        <f t="shared" si="251"/>
        <v>9.8890224119912236E-4</v>
      </c>
      <c r="H266" s="1">
        <f t="shared" si="251"/>
        <v>2.2366902501338697E-3</v>
      </c>
      <c r="I266" s="1">
        <f t="shared" si="251"/>
        <v>0</v>
      </c>
      <c r="J266" s="1">
        <f t="shared" si="251"/>
        <v>2.6143457317838719E-3</v>
      </c>
      <c r="K266" s="1">
        <f t="shared" si="251"/>
        <v>1.9204371675396298E-3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2.8874498546372367E-3</v>
      </c>
      <c r="G268" s="1">
        <f t="shared" si="251"/>
        <v>1.2227661955526742E-3</v>
      </c>
      <c r="H268" s="1">
        <f t="shared" si="251"/>
        <v>4.4353950374992832E-3</v>
      </c>
      <c r="I268" s="1">
        <f t="shared" si="251"/>
        <v>0</v>
      </c>
      <c r="J268" s="1">
        <f t="shared" si="251"/>
        <v>7.6045351296121855E-3</v>
      </c>
      <c r="K268" s="1">
        <f t="shared" si="251"/>
        <v>3.2261872613531602E-3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1.4244197113477317</v>
      </c>
      <c r="G270" s="1">
        <f t="shared" si="251"/>
        <v>1.5790260566022303</v>
      </c>
      <c r="H270" s="1">
        <f t="shared" si="251"/>
        <v>1.4835438423017189</v>
      </c>
      <c r="I270" s="1">
        <f t="shared" si="251"/>
        <v>1.3249726680492411</v>
      </c>
      <c r="J270" s="1">
        <f t="shared" si="251"/>
        <v>1.1649736873373264</v>
      </c>
      <c r="K270" s="1">
        <f t="shared" si="251"/>
        <v>1.0059588732980693</v>
      </c>
      <c r="L270" s="1">
        <f t="shared" ref="L270" si="259">L248*IFERROR(L127/L95,0)</f>
        <v>1.0059596231156345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1.7485227312222972E-2</v>
      </c>
      <c r="G271" s="1">
        <f t="shared" si="251"/>
        <v>2.5951647325420126E-2</v>
      </c>
      <c r="H271" s="1">
        <f t="shared" si="251"/>
        <v>3.6258797883350527E-2</v>
      </c>
      <c r="I271" s="1">
        <f t="shared" si="251"/>
        <v>0</v>
      </c>
      <c r="J271" s="1">
        <f t="shared" si="251"/>
        <v>1.927650434150745E-3</v>
      </c>
      <c r="K271" s="1">
        <f t="shared" si="251"/>
        <v>8.2160673970282602E-4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1.9356600170775753</v>
      </c>
      <c r="G273" s="1">
        <f t="shared" ref="G273:K273" si="262">SUM(G274:G275)</f>
        <v>1.9671878820404487</v>
      </c>
      <c r="H273" s="1">
        <f t="shared" si="262"/>
        <v>9.6382372040252254E-2</v>
      </c>
      <c r="I273" s="1">
        <f t="shared" si="262"/>
        <v>9.748796287784349E-2</v>
      </c>
      <c r="J273" s="1">
        <f t="shared" si="262"/>
        <v>1.3601058982172455E-2</v>
      </c>
      <c r="K273" s="1">
        <f t="shared" si="262"/>
        <v>0.89356729691310677</v>
      </c>
      <c r="L273" s="1">
        <f t="shared" ref="L273" si="263">SUM(L274:L275)</f>
        <v>0.9899003814666647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1.9356600170775753</v>
      </c>
      <c r="G274" s="1">
        <f>'[1]Electricity and CHPs'!C$106-G275</f>
        <v>1.9671878820404487</v>
      </c>
      <c r="H274" s="1">
        <f>'[1]Electricity and CHPs'!D$106-H275</f>
        <v>9.6382372040252254E-2</v>
      </c>
      <c r="I274" s="1">
        <f>'[1]Electricity and CHPs'!E$106-I275</f>
        <v>9.748796287784349E-2</v>
      </c>
      <c r="J274" s="1">
        <f>'[2]Electricity and CHPs'!F$106-J275</f>
        <v>1.3601058982172455E-2</v>
      </c>
      <c r="K274" s="1">
        <f>'[2]Electricity and CHPs'!G$106-K275</f>
        <v>5.7691025517179195E-3</v>
      </c>
      <c r="L274" s="1">
        <f>'[2]Electricity and CHPs'!H$106-L275</f>
        <v>7.2908490211487376E-4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0.88779819436138885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0.98917129656454983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1.9356600170775753</v>
      </c>
      <c r="G279" s="1">
        <f t="shared" ref="G279:K279" si="266">SUM(G280:G281)</f>
        <v>1.9671878820404487</v>
      </c>
      <c r="H279" s="1">
        <f t="shared" si="266"/>
        <v>9.6382372040252254E-2</v>
      </c>
      <c r="I279" s="1">
        <f t="shared" si="266"/>
        <v>9.748796287784349E-2</v>
      </c>
      <c r="J279" s="1">
        <f t="shared" si="266"/>
        <v>1.3601058982172455E-2</v>
      </c>
      <c r="K279" s="1">
        <f t="shared" si="266"/>
        <v>0.89356729691310677</v>
      </c>
      <c r="L279" s="1">
        <f t="shared" ref="L279" si="267">SUM(L280:L281)</f>
        <v>0.9899003814666647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1.9356600170775753</v>
      </c>
      <c r="G280" s="1">
        <f t="shared" ref="G280:K280" si="268">G274</f>
        <v>1.9671878820404487</v>
      </c>
      <c r="H280" s="1">
        <f t="shared" si="268"/>
        <v>9.6382372040252254E-2</v>
      </c>
      <c r="I280" s="1">
        <f t="shared" si="268"/>
        <v>9.748796287784349E-2</v>
      </c>
      <c r="J280" s="1">
        <f t="shared" si="268"/>
        <v>1.3601058982172455E-2</v>
      </c>
      <c r="K280" s="1">
        <f t="shared" si="268"/>
        <v>5.7691025517179195E-3</v>
      </c>
      <c r="L280" s="1">
        <f t="shared" ref="L280" si="269">L274</f>
        <v>7.2908490211487376E-4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0.88779819436138885</v>
      </c>
      <c r="L281" s="1">
        <f t="shared" ref="L281" si="271">L275</f>
        <v>0.98917129656454983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0.65994744305975483</v>
      </c>
      <c r="G282" s="1">
        <f t="shared" ref="G282:K282" si="272">SUM(G283:G287)</f>
        <v>1.4023866118570587</v>
      </c>
      <c r="H282" s="1">
        <f t="shared" si="272"/>
        <v>3.7144502899717744</v>
      </c>
      <c r="I282" s="1">
        <f t="shared" si="272"/>
        <v>5.3812368622562738</v>
      </c>
      <c r="J282" s="1">
        <f t="shared" si="272"/>
        <v>6.6116710804680467</v>
      </c>
      <c r="K282" s="1">
        <f t="shared" si="272"/>
        <v>7.8494503604608656</v>
      </c>
      <c r="L282" s="1">
        <f t="shared" ref="L282" si="273">SUM(L283:L287)</f>
        <v>8.4192377608392963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0.65994744305975483</v>
      </c>
      <c r="G283" s="1">
        <f>'[1]Electricity and CHPs'!C$105-G284</f>
        <v>1.4023866118570587</v>
      </c>
      <c r="H283" s="1">
        <f>'[1]Electricity and CHPs'!D$105-H284</f>
        <v>3.7144502899717744</v>
      </c>
      <c r="I283" s="1">
        <f>'[1]Electricity and CHPs'!E$105-I284</f>
        <v>5.3812368622562738</v>
      </c>
      <c r="J283" s="1">
        <f>'[2]Electricity and CHPs'!F$105-J284</f>
        <v>5.8420581127175382</v>
      </c>
      <c r="K283" s="1">
        <f>'[2]Electricity and CHPs'!G$105-K284</f>
        <v>5.6634318740551874</v>
      </c>
      <c r="L283" s="1">
        <f>'[2]Electricity and CHPs'!H$105-L284</f>
        <v>5.3337894255655476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0.64077006446309315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2.826027333752628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1.5782885397696598E-2</v>
      </c>
      <c r="K285" s="1">
        <f>'[2]Electricity and CHPs'!G$110</f>
        <v>1.5946183958993887E-2</v>
      </c>
      <c r="L285" s="1">
        <f>'[2]Electricity and CHPs'!H$110</f>
        <v>5.7341089522984605E-3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0.74935280378688796</v>
      </c>
      <c r="K286" s="1">
        <f>'[2]Electricity and CHPs'!G$113</f>
        <v>1.5265503577920376</v>
      </c>
      <c r="L286" s="1">
        <f>'[2]Electricity and CHPs'!H$113</f>
        <v>0.25268106277076569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4.4772785659247926E-3</v>
      </c>
      <c r="K287" s="1">
        <f>'[2]Electricity and CHPs'!G$117</f>
        <v>2.7518801915531795E-3</v>
      </c>
      <c r="L287" s="1">
        <f>'[2]Electricity and CHPs'!H$117</f>
        <v>1.0058297980570902E-3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3.125742423827519E-2</v>
      </c>
      <c r="J288" s="1">
        <f t="shared" si="274"/>
        <v>1.1423341889566705E-2</v>
      </c>
      <c r="K288" s="1">
        <f t="shared" si="274"/>
        <v>0.11557780357331923</v>
      </c>
      <c r="L288" s="1">
        <f t="shared" ref="L288" si="275">SUM(L289:L290)</f>
        <v>9.1401879790247956E-2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7.3323971255002335E-3</v>
      </c>
      <c r="K289" s="1">
        <f>'[2]Electricity and CHPs'!G$108</f>
        <v>0.10888641121045763</v>
      </c>
      <c r="L289" s="1">
        <f>'[2]Electricity and CHPs'!H$108</f>
        <v>8.4650890089496847E-2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3.125742423827519E-2</v>
      </c>
      <c r="J290" s="1">
        <f>'[2]Electricity and CHPs'!F$119</f>
        <v>4.0909447640664724E-3</v>
      </c>
      <c r="K290" s="1">
        <f>'[2]Electricity and CHPs'!G$119</f>
        <v>6.6913923628616114E-3</v>
      </c>
      <c r="L290" s="1">
        <f>'[2]Electricity and CHPs'!H$119</f>
        <v>6.750989700751108E-3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438.16608189086332</v>
      </c>
      <c r="G291" s="3">
        <f t="shared" ref="G291" si="276">SUM(G292,G294,G302,G310,G358,G379,G387,G389,G397,G401,G395)</f>
        <v>420.57941799880848</v>
      </c>
      <c r="H291" s="3">
        <f t="shared" ref="H291" si="277">SUM(H292,H294,H302,H310,H358,H379,H387,H389,H397,H401,H395)</f>
        <v>432.48181220459333</v>
      </c>
      <c r="I291" s="3">
        <f>IFERROR(SUM(I292,I294,I302,I310,I358,I379,I387,I389,I397,I401,I395),0)</f>
        <v>490.16928849620979</v>
      </c>
      <c r="J291" s="3">
        <f t="shared" ref="J291" si="278">SUM(J292,J294,J302,J310,J358,J379,J387,J389,J397,J401,J395)</f>
        <v>422.6389846974223</v>
      </c>
      <c r="K291" s="3">
        <f t="shared" ref="K291" si="279">SUM(K292,K294,K302,K310,K358,K379,K387,K389,K397,K401,K395)</f>
        <v>442.45275131075311</v>
      </c>
      <c r="L291" s="3">
        <f>IFERROR(SUM(L292,L294,L302,L310,L358,L379,L387,L389,L397,L401,L395),0)</f>
        <v>409.89662563887214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250.94871707957057</v>
      </c>
      <c r="G292" s="1">
        <f t="shared" ref="G292:L292" si="280">G293</f>
        <v>253.29674232384002</v>
      </c>
      <c r="H292" s="1">
        <f t="shared" si="280"/>
        <v>233.18388719099903</v>
      </c>
      <c r="I292" s="1">
        <f t="shared" si="280"/>
        <v>211.82063694625381</v>
      </c>
      <c r="J292" s="1">
        <f t="shared" si="280"/>
        <v>167.60312820269229</v>
      </c>
      <c r="K292" s="1">
        <f t="shared" si="280"/>
        <v>98.945517737745703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250.94871707957057</v>
      </c>
      <c r="G293" s="1">
        <f>'[1]Electricity and CHPs_IN'!C$14</f>
        <v>253.29674232384002</v>
      </c>
      <c r="H293" s="1">
        <f>'[1]Electricity and CHPs_IN'!D$14</f>
        <v>233.18388719099903</v>
      </c>
      <c r="I293" s="1">
        <f>'[1]Electricity and CHPs_IN'!E$14</f>
        <v>211.82063694625381</v>
      </c>
      <c r="J293" s="1">
        <f>'[2]Electricity and CHPs_IN'!F$14</f>
        <v>167.60312820269229</v>
      </c>
      <c r="K293" s="1">
        <f>'[2]Electricity and CHPs_IN'!G$14</f>
        <v>98.945517737745703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149.43060968985017</v>
      </c>
      <c r="G294" s="1">
        <f t="shared" ref="G294:K294" si="282">SUM(G295:G297)</f>
        <v>125.65124522840297</v>
      </c>
      <c r="H294" s="1">
        <f t="shared" si="282"/>
        <v>137.72924305395776</v>
      </c>
      <c r="I294" s="1">
        <f t="shared" si="282"/>
        <v>191.68914738393363</v>
      </c>
      <c r="J294" s="1">
        <f t="shared" si="282"/>
        <v>152.65341380289209</v>
      </c>
      <c r="K294" s="1">
        <f t="shared" si="282"/>
        <v>155.38621037136974</v>
      </c>
      <c r="L294" s="1">
        <f t="shared" ref="L294" si="283">SUM(L295:L297)</f>
        <v>159.52601022338501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66.745681606063101</v>
      </c>
      <c r="G295" s="1">
        <f>'[1]Electricity and CHPs_IN'!C$15</f>
        <v>49.798777987808691</v>
      </c>
      <c r="H295" s="1">
        <f>'[1]Electricity and CHPs_IN'!D$15</f>
        <v>68.970400584037336</v>
      </c>
      <c r="I295" s="1">
        <f>'[1]Electricity and CHPs_IN'!E$15</f>
        <v>70.970232393460137</v>
      </c>
      <c r="J295" s="1">
        <f>'[2]Electricity and CHPs_IN'!F$15</f>
        <v>72.614680964563476</v>
      </c>
      <c r="K295" s="1">
        <f>'[2]Electricity and CHPs_IN'!G$15</f>
        <v>73.883720214170353</v>
      </c>
      <c r="L295" s="1">
        <f>'[2]Electricity and CHPs_IN'!H$15</f>
        <v>74.836063035420736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66.632430866657671</v>
      </c>
      <c r="G296" s="1">
        <f>'[1]Electricity and CHPs_IN'!C$16</f>
        <v>55.764055694378619</v>
      </c>
      <c r="H296" s="1">
        <f>'[1]Electricity and CHPs_IN'!D$16</f>
        <v>65.677217745587797</v>
      </c>
      <c r="I296" s="1">
        <f>'[1]Electricity and CHPs_IN'!E$16</f>
        <v>64.853740316850036</v>
      </c>
      <c r="J296" s="1">
        <f>'[2]Electricity and CHPs_IN'!F$16</f>
        <v>63.871732700338775</v>
      </c>
      <c r="K296" s="1">
        <f>'[2]Electricity and CHPs_IN'!G$16</f>
        <v>64.430908432464136</v>
      </c>
      <c r="L296" s="1">
        <f>'[2]Electricity and CHPs_IN'!H$16</f>
        <v>67.134967183378762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16.052497217129396</v>
      </c>
      <c r="G297" s="1">
        <f>'[1]Electricity and CHPs_IN'!C$13</f>
        <v>20.088411546215649</v>
      </c>
      <c r="H297" s="1">
        <f>'[1]Electricity and CHPs_IN'!D$13</f>
        <v>3.0816247243326447</v>
      </c>
      <c r="I297" s="1">
        <f>'[1]Electricity and CHPs_IN'!E$13</f>
        <v>55.865174673623464</v>
      </c>
      <c r="J297" s="1">
        <f>'[2]Electricity and CHPs_IN'!F$13</f>
        <v>16.167000137989838</v>
      </c>
      <c r="K297" s="1">
        <f>'[2]Electricity and CHPs_IN'!G$13</f>
        <v>17.071581724735235</v>
      </c>
      <c r="L297" s="1">
        <f>'[2]Electricity and CHPs_IN'!H$13</f>
        <v>17.554980004585513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0.28755479086613472</v>
      </c>
      <c r="G298" s="1">
        <f t="shared" ref="G298:K298" si="284">SUM(G299:G301)</f>
        <v>0.39523117248099776</v>
      </c>
      <c r="H298" s="1">
        <f t="shared" si="284"/>
        <v>0.19643403163368417</v>
      </c>
      <c r="I298" s="1">
        <f t="shared" si="284"/>
        <v>9.162515962178347E-2</v>
      </c>
      <c r="J298" s="1">
        <f t="shared" si="284"/>
        <v>0.12056111379705381</v>
      </c>
      <c r="K298" s="1">
        <f t="shared" si="284"/>
        <v>1.0557231296297133E-2</v>
      </c>
      <c r="L298" s="1">
        <f t="shared" ref="L298" si="285">SUM(L299:L301)</f>
        <v>2.6799221746986015E-4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0.23725264665402263</v>
      </c>
      <c r="G299" s="1">
        <f>'[1]Electricity and CHPs_IN'!C$18</f>
        <v>0.29228510052458495</v>
      </c>
      <c r="H299" s="1">
        <f>'[1]Electricity and CHPs_IN'!D$18</f>
        <v>0.13554092101139664</v>
      </c>
      <c r="I299" s="1">
        <f>'[1]Electricity and CHPs_IN'!E$18</f>
        <v>1.7718494471028752E-2</v>
      </c>
      <c r="J299" s="1">
        <f>'[2]Electricity and CHPs_IN'!F$18</f>
        <v>1.2168935492371262E-2</v>
      </c>
      <c r="K299" s="1">
        <f>'[2]Electricity and CHPs_IN'!G$18</f>
        <v>9.825982692377307E-3</v>
      </c>
      <c r="L299" s="1">
        <f>'[2]Electricity and CHPs_IN'!H$18</f>
        <v>2.4324598642027172E-4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2.2155717614293875E-2</v>
      </c>
      <c r="G300" s="1">
        <f>IFERROR(G72/SUM(G72,G185),0)*'[1]Electricity and CHPs_IN'!C$28</f>
        <v>5.1075999674683688E-2</v>
      </c>
      <c r="H300" s="1">
        <f>IFERROR(H72/SUM(H72,H185),0)*'[1]Electricity and CHPs_IN'!D$28</f>
        <v>1.5936133952869049E-2</v>
      </c>
      <c r="I300" s="1">
        <f>IFERROR(I72/SUM(I72,I185),0)*'[1]Electricity and CHPs_IN'!E$28</f>
        <v>3.1945384254943145E-3</v>
      </c>
      <c r="J300" s="1">
        <f>IFERROR(J72/SUM(J72,J185),0)*'[2]Electricity and CHPs_IN'!F$28</f>
        <v>1.8037256384701912E-3</v>
      </c>
      <c r="K300" s="1">
        <f>IFERROR(K72/SUM(K72,K185),0)*'[2]Electricity and CHPs_IN'!G$28</f>
        <v>7.312486039198256E-4</v>
      </c>
      <c r="L300" s="1">
        <f>IFERROR(L72/SUM(L72,L185),0)*'[2]Electricity and CHPs_IN'!H$28</f>
        <v>2.4746231049588434E-5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2.8146426597818245E-2</v>
      </c>
      <c r="G301" s="1">
        <f>IFERROR(G73/SUM(G73,G235),0)*'[1]Electricity and CHPs_IN'!C$41</f>
        <v>5.1870072281729108E-2</v>
      </c>
      <c r="H301" s="1">
        <f>IFERROR(H73/SUM(H73,H235),0)*'[1]Electricity and CHPs_IN'!D$41</f>
        <v>4.4956976669418489E-2</v>
      </c>
      <c r="I301" s="1">
        <f>IFERROR(I73/SUM(I73,I235),0)*'[1]Electricity and CHPs_IN'!E$41</f>
        <v>7.0712126725260407E-2</v>
      </c>
      <c r="J301" s="1">
        <f>IFERROR(J73/SUM(J73,J235),0)*'[2]Electricity and CHPs_IN'!F$41</f>
        <v>0.10658845266621236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0.28755479086613472</v>
      </c>
      <c r="G302" s="1">
        <f t="shared" ref="G302:K302" si="286">G298</f>
        <v>0.39523117248099776</v>
      </c>
      <c r="H302" s="1">
        <f t="shared" si="286"/>
        <v>0.19643403163368417</v>
      </c>
      <c r="I302" s="1">
        <f t="shared" si="286"/>
        <v>9.162515962178347E-2</v>
      </c>
      <c r="J302" s="1">
        <f t="shared" si="286"/>
        <v>0.12056111379705381</v>
      </c>
      <c r="K302" s="1">
        <f t="shared" si="286"/>
        <v>1.0557231296297133E-2</v>
      </c>
      <c r="L302" s="1">
        <f t="shared" ref="L302" si="287">L298</f>
        <v>2.6799221746986015E-4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0.23725264665402263</v>
      </c>
      <c r="G303" s="1">
        <f t="shared" si="288"/>
        <v>0.29228510052458495</v>
      </c>
      <c r="H303" s="1">
        <f t="shared" si="288"/>
        <v>0.13554092101139664</v>
      </c>
      <c r="I303" s="1">
        <f t="shared" si="288"/>
        <v>1.7718494471028752E-2</v>
      </c>
      <c r="J303" s="1">
        <f t="shared" si="288"/>
        <v>1.2168935492371262E-2</v>
      </c>
      <c r="K303" s="1">
        <f t="shared" si="288"/>
        <v>9.825982692377307E-3</v>
      </c>
      <c r="L303" s="1">
        <f t="shared" ref="L303" si="289">L299</f>
        <v>2.4324598642027172E-4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2.2155717614293875E-2</v>
      </c>
      <c r="G304" s="1">
        <f t="shared" si="290"/>
        <v>5.1075999674683688E-2</v>
      </c>
      <c r="H304" s="1">
        <f t="shared" si="290"/>
        <v>1.5936133952869049E-2</v>
      </c>
      <c r="I304" s="1">
        <f t="shared" si="290"/>
        <v>3.1945384254943145E-3</v>
      </c>
      <c r="J304" s="1">
        <f t="shared" si="290"/>
        <v>1.8037256384701912E-3</v>
      </c>
      <c r="K304" s="1">
        <f t="shared" si="290"/>
        <v>7.312486039198256E-4</v>
      </c>
      <c r="L304" s="1">
        <f t="shared" ref="L304" si="291">L300</f>
        <v>2.4746231049588434E-5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2.8146426597818245E-2</v>
      </c>
      <c r="G305" s="1">
        <f t="shared" si="292"/>
        <v>5.1870072281729108E-2</v>
      </c>
      <c r="H305" s="1">
        <f t="shared" si="292"/>
        <v>4.4956976669418489E-2</v>
      </c>
      <c r="I305" s="1">
        <f t="shared" si="292"/>
        <v>7.0712126725260407E-2</v>
      </c>
      <c r="J305" s="1">
        <f t="shared" si="292"/>
        <v>0.10658845266621236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4.4870192850517192</v>
      </c>
      <c r="G310" s="1">
        <f t="shared" ref="G310:K310" si="294">SUM(G311:G325)</f>
        <v>2.3999337970005077</v>
      </c>
      <c r="H310" s="1">
        <f t="shared" si="294"/>
        <v>2.8637078801647471</v>
      </c>
      <c r="I310" s="1">
        <f>IFERROR(SUM(I311:I325),0)</f>
        <v>1.4529899595983369</v>
      </c>
      <c r="J310" s="1">
        <f t="shared" si="294"/>
        <v>2.2066763430385694</v>
      </c>
      <c r="K310" s="1">
        <f t="shared" si="294"/>
        <v>1.848909027318079</v>
      </c>
      <c r="L310" s="1">
        <f>IFERROR(SUM(L311:L325),0)</f>
        <v>3.4746426925997316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4.2455643243824639E-5</v>
      </c>
      <c r="L311" s="1">
        <f>'[2]Electricity and CHPs_IN'!H$21</f>
        <v>7.0532134056897422E-3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3.6116816724056689E-5</v>
      </c>
      <c r="L312" s="1">
        <f>'[2]Electricity and CHPs_IN'!H$22</f>
        <v>6.4201293213668506E-2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1.3986035539728514</v>
      </c>
      <c r="G314" s="1">
        <f>IFERROR(G86/SUM(G86+G189),0)*'[1]Electricity and CHPs_IN'!C$24</f>
        <v>2.8637805192996215E-2</v>
      </c>
      <c r="H314" s="1">
        <f>IFERROR(H86/SUM(H86+H189),0)*'[1]Electricity and CHPs_IN'!D$24</f>
        <v>0.11587488496817153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0.89362871307127156</v>
      </c>
      <c r="G316" s="1">
        <f>G88/SUM(G88,G241)*'[1]Electricity and CHPs_IN'!C$39</f>
        <v>0.28870094250568629</v>
      </c>
      <c r="H316" s="1">
        <f>H88/SUM(H88,H241)*'[1]Electricity and CHPs_IN'!D$39</f>
        <v>0.63234851958414739</v>
      </c>
      <c r="I316" s="1">
        <f>I88/SUM(I88,I241)*'[1]Electricity and CHPs_IN'!E$39</f>
        <v>6.9081493343059922E-2</v>
      </c>
      <c r="J316" s="1">
        <f>J88/SUM(J88,J241)*'[2]Electricity and CHPs_IN'!F$39</f>
        <v>0.70523211034627908</v>
      </c>
      <c r="K316" s="1">
        <f>K88/SUM(K88,K241)*'[2]Electricity and CHPs_IN'!G$39</f>
        <v>0.22391258077436682</v>
      </c>
      <c r="L316" s="1">
        <f>L88/SUM(L88,L241)*'[2]Electricity and CHPs_IN'!H$39</f>
        <v>1.3352421769220517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7.1524564682531794E-2</v>
      </c>
      <c r="L317" s="1">
        <f>IFERROR(L89/SUM(L89,L242),0)*'[2]Electricity and CHPs_IN'!H$40</f>
        <v>0.56422465740965255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0.1084823681965997</v>
      </c>
      <c r="G319" s="1">
        <f>G91/SUM(G91,G244)*'[1]Electricity and CHPs_IN'!C$48</f>
        <v>1.4188015523689659E-2</v>
      </c>
      <c r="H319" s="1">
        <f>H91/SUM(H91,H244)*'[1]Electricity and CHPs_IN'!D$48</f>
        <v>4.7960759437846535E-2</v>
      </c>
      <c r="I319" s="1">
        <f>IFERROR(I91/SUM(I91,I244)*'[1]Electricity and CHPs_IN'!E$48,0)</f>
        <v>0</v>
      </c>
      <c r="J319" s="1">
        <f>J91/SUM(J91,J244)*'[2]Electricity and CHPs_IN'!F$48</f>
        <v>8.7052874069304172E-3</v>
      </c>
      <c r="K319" s="1">
        <f>K91/SUM(K91,K244)*'[2]Electricity and CHPs_IN'!G$48</f>
        <v>2.4580731955741409E-3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0.12899436616723819</v>
      </c>
      <c r="G321" s="1">
        <f>IFERROR(G93/SUM(G93,G246),0)*'[1]Electricity and CHPs_IN'!C$51</f>
        <v>1.9321698878924501E-2</v>
      </c>
      <c r="H321" s="1">
        <f>IFERROR(H93/SUM(H93,H246),0)*'[1]Electricity and CHPs_IN'!D$51</f>
        <v>7.3364792399169432E-2</v>
      </c>
      <c r="I321" s="1">
        <f>IFERROR(I93/SUM(I93,I246),0)*'[1]Electricity and CHPs_IN'!E$51</f>
        <v>0</v>
      </c>
      <c r="J321" s="1">
        <f>IFERROR(J93/SUM(J93,J246),0)*'[2]Electricity and CHPs_IN'!F$51</f>
        <v>2.4460587069053238E-2</v>
      </c>
      <c r="K321" s="1">
        <f>IFERROR(K93/SUM(K93,K246),0)*'[2]Electricity and CHPs_IN'!G$51</f>
        <v>4.5115468576081633E-3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1.0647533428843095</v>
      </c>
      <c r="G323" s="1">
        <f>IFERROR(G95/SUM(G95,G248),0)*'[1]Electricity and CHPs_IN'!C$54</f>
        <v>1.2566906558847364</v>
      </c>
      <c r="H323" s="1">
        <f>IFERROR(H95/SUM(H95,H248),0)*'[1]Electricity and CHPs_IN'!D$54</f>
        <v>1.3078011392037654</v>
      </c>
      <c r="I323" s="1">
        <f>IFERROR(I95/SUM(I95,I248),0)*'[1]Electricity and CHPs_IN'!E$54</f>
        <v>1.383908466255277</v>
      </c>
      <c r="J323" s="1">
        <f>IFERROR(J95/SUM(J95,J248),0)*'[2]Electricity and CHPs_IN'!F$54</f>
        <v>1.4584458708729218</v>
      </c>
      <c r="K323" s="1">
        <f>IFERROR(K95/SUM(K95,K248),0)*'[2]Electricity and CHPs_IN'!G$54</f>
        <v>1.5448003198662801</v>
      </c>
      <c r="L323" s="1">
        <f>IFERROR(L95/SUM(L95,L248),0)*'[2]Electricity and CHPs_IN'!H$54</f>
        <v>1.5039213516486694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0.89255694075944847</v>
      </c>
      <c r="G324" s="1">
        <f>IFERROR(G96/SUM(G96,G249),0)*'[1]Electricity and CHPs_IN'!C$55</f>
        <v>0.79239467901447458</v>
      </c>
      <c r="H324" s="1">
        <f>IFERROR(H96/SUM(H96,H249),0)*'[1]Electricity and CHPs_IN'!D$55</f>
        <v>0.68635778457164687</v>
      </c>
      <c r="I324" s="1">
        <f>IFERROR(I96/SUM(I96,I249),0)*'[1]Electricity and CHPs_IN'!E$55</f>
        <v>0</v>
      </c>
      <c r="J324" s="1">
        <f>IFERROR(J96/SUM(J96,J249),0)*'[2]Electricity and CHPs_IN'!F$55</f>
        <v>9.8324873433852517E-3</v>
      </c>
      <c r="K324" s="1">
        <f>IFERROR(K96/SUM(K96,K249),0)*'[2]Electricity and CHPs_IN'!G$55</f>
        <v>1.6233694817501915E-3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3.3359007210481675</v>
      </c>
      <c r="G326" s="1">
        <f t="shared" ref="G326:K326" si="295">G310-G342</f>
        <v>1.1037438582681114</v>
      </c>
      <c r="H326" s="1">
        <f t="shared" si="295"/>
        <v>1.4718599504181222</v>
      </c>
      <c r="I326" s="1">
        <f>IFERROR(I310-I342,0)</f>
        <v>6.1997044888206565E-2</v>
      </c>
      <c r="J326" s="1">
        <f t="shared" si="295"/>
        <v>0.61460608694250785</v>
      </c>
      <c r="K326" s="1">
        <f t="shared" si="295"/>
        <v>0.1807756356076724</v>
      </c>
      <c r="L326" s="1">
        <f>IFERROR(L310-L342,0)</f>
        <v>0.74897585419758927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2.5237507853179302E-5</v>
      </c>
      <c r="L327" s="1">
        <f t="shared" ref="L327" si="297">IFERROR(L99/L83,0)*L311</f>
        <v>2.6805852383041439E-3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2.1469429646147213E-5</v>
      </c>
      <c r="L328" s="1">
        <f t="shared" ref="L328" si="299">IFERROR(L100/L84,0)*L312</f>
        <v>2.4399806013209131E-2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1.363308019599353</v>
      </c>
      <c r="G330" s="1">
        <f t="shared" si="302"/>
        <v>2.7648363203997838E-2</v>
      </c>
      <c r="H330" s="1">
        <f t="shared" si="302"/>
        <v>0.10961556882170199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0.87107685920978439</v>
      </c>
      <c r="G332" s="1">
        <f t="shared" si="306"/>
        <v>0.27872626627426916</v>
      </c>
      <c r="H332" s="1">
        <f t="shared" si="306"/>
        <v>0.59819039032329546</v>
      </c>
      <c r="I332" s="1">
        <f t="shared" si="306"/>
        <v>6.1997044888206676E-2</v>
      </c>
      <c r="J332" s="1">
        <f t="shared" si="306"/>
        <v>0.57928668217909207</v>
      </c>
      <c r="K332" s="1">
        <f t="shared" si="306"/>
        <v>0.13310351896601377</v>
      </c>
      <c r="L332" s="1">
        <f t="shared" ref="L332" si="307">IFERROR(L104/L88,0)*L316</f>
        <v>0.50746096327257295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4.251735752780491E-2</v>
      </c>
      <c r="L333" s="1">
        <f t="shared" ref="L333" si="309">IFERROR(L105/L89,0)*L317</f>
        <v>0.21443449967350348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0.10574467805937306</v>
      </c>
      <c r="G335" s="1">
        <f t="shared" si="312"/>
        <v>1.3697816704153983E-2</v>
      </c>
      <c r="H335" s="1">
        <f t="shared" si="312"/>
        <v>4.5370020676563518E-2</v>
      </c>
      <c r="I335" s="1">
        <f>IFERROR(IFERROR(I107/I91,0)*I319,0)</f>
        <v>0</v>
      </c>
      <c r="J335" s="1">
        <f t="shared" si="312"/>
        <v>7.1506345008879955E-3</v>
      </c>
      <c r="K335" s="1">
        <f t="shared" si="312"/>
        <v>1.4611871788331766E-3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0.12573902974820045</v>
      </c>
      <c r="G337" s="1">
        <f t="shared" si="315"/>
        <v>1.8654130256233178E-2</v>
      </c>
      <c r="H337" s="1">
        <f t="shared" si="315"/>
        <v>6.9401781520904982E-2</v>
      </c>
      <c r="I337" s="1">
        <f t="shared" si="315"/>
        <v>0</v>
      </c>
      <c r="J337" s="1">
        <f t="shared" si="315"/>
        <v>2.0092239306045111E-2</v>
      </c>
      <c r="K337" s="1">
        <f t="shared" si="315"/>
        <v>2.6818625405100626E-3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0.87003213443145633</v>
      </c>
      <c r="G340" s="1">
        <f t="shared" si="321"/>
        <v>0.76501728182945716</v>
      </c>
      <c r="H340" s="1">
        <f t="shared" si="321"/>
        <v>0.64928218907565627</v>
      </c>
      <c r="I340" s="1">
        <f t="shared" si="321"/>
        <v>0</v>
      </c>
      <c r="J340" s="1">
        <f t="shared" si="321"/>
        <v>8.0765309564829989E-3</v>
      </c>
      <c r="K340" s="1">
        <f t="shared" si="321"/>
        <v>9.6500245701120813E-4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1.1511185640035515</v>
      </c>
      <c r="G342" s="1">
        <f t="shared" ref="G342:K342" si="325">SUM(G343:G357)</f>
        <v>1.2961899387323963</v>
      </c>
      <c r="H342" s="1">
        <f t="shared" si="325"/>
        <v>1.3918479297466249</v>
      </c>
      <c r="I342" s="1">
        <f>IFERROR(SUM(I343:I357),0)</f>
        <v>1.3909929147101303</v>
      </c>
      <c r="J342" s="1">
        <f t="shared" si="325"/>
        <v>1.5920702560960616</v>
      </c>
      <c r="K342" s="1">
        <f t="shared" si="325"/>
        <v>1.6681333917104066</v>
      </c>
      <c r="L342" s="1">
        <f>IFERROR(SUM(L343:L357),0)</f>
        <v>2.7256668384021423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1.7218135390645337E-5</v>
      </c>
      <c r="L343" s="1">
        <f t="shared" ref="L343" si="327">L311-L327</f>
        <v>4.3726281673855984E-3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1.4647387077909476E-5</v>
      </c>
      <c r="L344" s="1">
        <f t="shared" ref="L344" si="329">L312-L328</f>
        <v>3.9801487200459375E-2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3.5295534373498416E-2</v>
      </c>
      <c r="G346" s="1">
        <f t="shared" si="332"/>
        <v>9.8944198899837688E-4</v>
      </c>
      <c r="H346" s="1">
        <f t="shared" si="332"/>
        <v>6.2593161464695318E-3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2.255185386148717E-2</v>
      </c>
      <c r="G348" s="1">
        <f t="shared" si="336"/>
        <v>9.9746762314171233E-3</v>
      </c>
      <c r="H348" s="1">
        <f t="shared" si="336"/>
        <v>3.4158129260851933E-2</v>
      </c>
      <c r="I348" s="1">
        <f t="shared" si="336"/>
        <v>7.0844484548532455E-3</v>
      </c>
      <c r="J348" s="1">
        <f t="shared" si="336"/>
        <v>0.12594542816718701</v>
      </c>
      <c r="K348" s="1">
        <f t="shared" si="336"/>
        <v>9.0809061808353048E-2</v>
      </c>
      <c r="L348" s="1">
        <f t="shared" ref="L348" si="337">L316-L332</f>
        <v>0.82778121364947876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2.9007207154726884E-2</v>
      </c>
      <c r="L349" s="1">
        <f t="shared" ref="L349" si="339">L317-L333</f>
        <v>0.34979015773614908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2.7376901372266477E-3</v>
      </c>
      <c r="G351" s="1">
        <f t="shared" si="342"/>
        <v>4.9019881953567615E-4</v>
      </c>
      <c r="H351" s="1">
        <f t="shared" si="342"/>
        <v>2.5907387612830179E-3</v>
      </c>
      <c r="I351" s="1">
        <f>IFERROR(I319-I335,0)</f>
        <v>0</v>
      </c>
      <c r="J351" s="1">
        <f t="shared" si="342"/>
        <v>1.5546529060424218E-3</v>
      </c>
      <c r="K351" s="1">
        <f t="shared" si="342"/>
        <v>9.968860167409643E-4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3.2553364190377465E-3</v>
      </c>
      <c r="G353" s="1">
        <f t="shared" si="345"/>
        <v>6.6756862269132244E-4</v>
      </c>
      <c r="H353" s="1">
        <f t="shared" si="345"/>
        <v>3.9630108782644502E-3</v>
      </c>
      <c r="I353" s="1">
        <f t="shared" si="345"/>
        <v>0</v>
      </c>
      <c r="J353" s="1">
        <f t="shared" si="345"/>
        <v>4.368347763008127E-3</v>
      </c>
      <c r="K353" s="1">
        <f t="shared" si="345"/>
        <v>1.8296843170981006E-3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1.0647533428843095</v>
      </c>
      <c r="G355" s="1">
        <f t="shared" si="349"/>
        <v>1.2566906558847364</v>
      </c>
      <c r="H355" s="1">
        <f t="shared" si="349"/>
        <v>1.3078011392037654</v>
      </c>
      <c r="I355" s="1">
        <f t="shared" si="349"/>
        <v>1.383908466255277</v>
      </c>
      <c r="J355" s="1">
        <f t="shared" si="349"/>
        <v>1.4584458708729218</v>
      </c>
      <c r="K355" s="1">
        <f t="shared" si="349"/>
        <v>1.5448003198662801</v>
      </c>
      <c r="L355" s="1">
        <f t="shared" ref="L355" si="350">L323-L339</f>
        <v>1.5039213516486694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2.2524806327992142E-2</v>
      </c>
      <c r="G356" s="1">
        <f t="shared" si="351"/>
        <v>2.7377397185017416E-2</v>
      </c>
      <c r="H356" s="1">
        <f t="shared" si="351"/>
        <v>3.7075595495990599E-2</v>
      </c>
      <c r="I356" s="1">
        <f t="shared" si="351"/>
        <v>0</v>
      </c>
      <c r="J356" s="1">
        <f t="shared" si="351"/>
        <v>1.7559563869022528E-3</v>
      </c>
      <c r="K356" s="1">
        <f t="shared" si="351"/>
        <v>6.5836702473898341E-4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22.495592698041992</v>
      </c>
      <c r="G358" s="1">
        <f t="shared" ref="G358:K358" si="356">SUM(G359:G364)</f>
        <v>24.703746857402027</v>
      </c>
      <c r="H358" s="1">
        <f t="shared" si="356"/>
        <v>27.024424697068927</v>
      </c>
      <c r="I358" s="1">
        <f t="shared" si="356"/>
        <v>25.859022944312148</v>
      </c>
      <c r="J358" s="1">
        <f t="shared" si="356"/>
        <v>25.183616177500607</v>
      </c>
      <c r="K358" s="1">
        <f t="shared" si="356"/>
        <v>28.910360877891897</v>
      </c>
      <c r="L358" s="1">
        <f t="shared" ref="L358" si="357">SUM(L359:L364)</f>
        <v>48.019225120429255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18.203630783692468</v>
      </c>
      <c r="G359" s="1">
        <f>'[1]Electricity and CHPs_IN'!C$19</f>
        <v>20.449481328055573</v>
      </c>
      <c r="H359" s="1">
        <f>'[1]Electricity and CHPs_IN'!D$19</f>
        <v>23.37941964085519</v>
      </c>
      <c r="I359" s="1">
        <f>'[1]Electricity and CHPs_IN'!E$19</f>
        <v>21.740037121186226</v>
      </c>
      <c r="J359" s="1">
        <f>'[2]Electricity and CHPs_IN'!F$19</f>
        <v>20.958787864343655</v>
      </c>
      <c r="K359" s="1">
        <f>'[2]Electricity and CHPs_IN'!G$19</f>
        <v>16.58367819676646</v>
      </c>
      <c r="L359" s="1">
        <f>'[2]Electricity and CHPs_IN'!H$19</f>
        <v>8.9546387065054175E-3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7.0665867050171807</v>
      </c>
      <c r="L360" s="1">
        <f>'[2]Electricity and CHPs_IN'!H$20</f>
        <v>27.330604953781418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3.8975072429808311</v>
      </c>
      <c r="G361" s="1">
        <f>IFERROR(G133/SUM(G133,G198),0)*'[1]Electricity and CHPs_IN'!C$26</f>
        <v>3.8212567093944836</v>
      </c>
      <c r="H361" s="1">
        <f>IFERROR(H133/SUM(H133,H198),0)*'[1]Electricity and CHPs_IN'!D$26</f>
        <v>3.6210573285347292</v>
      </c>
      <c r="I361" s="1">
        <f>IFERROR(I133/SUM(I133,I198),0)*'[1]Electricity and CHPs_IN'!E$26</f>
        <v>4.0888133004811937</v>
      </c>
      <c r="J361" s="1">
        <f>IFERROR(J133/SUM(J133,J198),0)*'[2]Electricity and CHPs_IN'!F$26</f>
        <v>4.2194397167592257</v>
      </c>
      <c r="K361" s="1">
        <f>IFERROR(K133/SUM(K133,K198),0)*'[2]Electricity and CHPs_IN'!G$26</f>
        <v>3.9490329477374102</v>
      </c>
      <c r="L361" s="1">
        <f>IFERROR(L133/SUM(L133,L198),0)*'[2]Electricity and CHPs_IN'!H$26</f>
        <v>16.681986478491968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0.78988293199234294</v>
      </c>
      <c r="L362" s="1">
        <f>IFERROR(L134/SUM(L134,L199),0)*'[2]Electricity and CHPs_IN'!H$27</f>
        <v>2.806594381731589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0.39445467136869372</v>
      </c>
      <c r="G363" s="1">
        <f>IFERROR(G135/SUM(G135,G274),0)*'[1]Electricity and CHPs_IN'!C$44</f>
        <v>0.43300881995197105</v>
      </c>
      <c r="H363" s="1">
        <f>IFERROR(H135/SUM(H135,H274),0)*'[1]Electricity and CHPs_IN'!D$44</f>
        <v>2.394772767900772E-2</v>
      </c>
      <c r="I363" s="1">
        <f>IFERROR(I135/SUM(I135,I274),0)*'[1]Electricity and CHPs_IN'!E$44</f>
        <v>3.0172522644727841E-2</v>
      </c>
      <c r="J363" s="1">
        <f>IFERROR(J135/SUM(J135,J274),0)*'[2]Electricity and CHPs_IN'!F$44</f>
        <v>5.3885963977272546E-3</v>
      </c>
      <c r="K363" s="1">
        <f>IFERROR(K135/SUM(K135,K274),0)*'[2]Electricity and CHPs_IN'!G$44</f>
        <v>3.0303431279448205E-3</v>
      </c>
      <c r="L363" s="1">
        <f>IFERROR(L135/SUM(L135,L274),0)*'[2]Electricity and CHPs_IN'!H$44</f>
        <v>7.8959382809000369E-4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0.51814975325055779</v>
      </c>
      <c r="L364" s="1">
        <f>IFERROR(L136/SUM(L136,L275),0)*'[2]Electricity and CHPs_IN'!H$45</f>
        <v>1.1902950738896856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11.050569013336652</v>
      </c>
      <c r="G365" s="1">
        <f t="shared" ref="G365:K365" si="358">SUM(G366:G369)</f>
        <v>12.135369018725026</v>
      </c>
      <c r="H365" s="1">
        <f t="shared" si="358"/>
        <v>13.500238484694959</v>
      </c>
      <c r="I365" s="1">
        <f t="shared" si="358"/>
        <v>12.914425210833709</v>
      </c>
      <c r="J365" s="1">
        <f t="shared" si="358"/>
        <v>12.589113790551441</v>
      </c>
      <c r="K365" s="1">
        <f t="shared" si="358"/>
        <v>14.194590390756696</v>
      </c>
      <c r="L365" s="1">
        <f t="shared" ref="L365" si="359">SUM(L366:L369)</f>
        <v>23.41407022635574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9.1018153918462357</v>
      </c>
      <c r="G366" s="1">
        <f t="shared" ref="G366:K366" si="360">G359*IFERROR(G138/G131,0)</f>
        <v>10.224740664027784</v>
      </c>
      <c r="H366" s="1">
        <f t="shared" si="360"/>
        <v>11.689709820427595</v>
      </c>
      <c r="I366" s="1">
        <f t="shared" si="360"/>
        <v>10.870018560593113</v>
      </c>
      <c r="J366" s="1">
        <f t="shared" si="360"/>
        <v>10.479393932171828</v>
      </c>
      <c r="K366" s="1">
        <f t="shared" si="360"/>
        <v>8.29183909838323</v>
      </c>
      <c r="L366" s="1">
        <f t="shared" ref="L366" si="361">L359*IFERROR(L138/L131,0)</f>
        <v>4.4773193532527088E-3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3.5332933525085903</v>
      </c>
      <c r="L367" s="1">
        <f t="shared" ref="L367" si="363">L360*IFERROR(L139/L132,0)</f>
        <v>13.665302476890709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1.9487536214904155</v>
      </c>
      <c r="G368" s="1">
        <f t="shared" si="364"/>
        <v>1.9106283546972418</v>
      </c>
      <c r="H368" s="1">
        <f t="shared" si="364"/>
        <v>1.8105286642673646</v>
      </c>
      <c r="I368" s="1">
        <f t="shared" si="364"/>
        <v>2.0444066502405969</v>
      </c>
      <c r="J368" s="1">
        <f t="shared" si="364"/>
        <v>2.1097198583796128</v>
      </c>
      <c r="K368" s="1">
        <f t="shared" si="364"/>
        <v>1.9745164738687051</v>
      </c>
      <c r="L368" s="1">
        <f t="shared" ref="L368" si="365">L361*IFERROR(L140/L133,0)</f>
        <v>8.340993239245984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0.39494146599617147</v>
      </c>
      <c r="L369" s="1">
        <f t="shared" ref="L369" si="367">L362*IFERROR(L141/L134,0)</f>
        <v>1.4032971908657943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11.445023684705342</v>
      </c>
      <c r="G372" s="1">
        <f t="shared" ref="G372:K372" si="372">SUM(G373:G378)</f>
        <v>12.568377838676998</v>
      </c>
      <c r="H372" s="1">
        <f t="shared" si="372"/>
        <v>13.524186212373968</v>
      </c>
      <c r="I372" s="1">
        <f t="shared" si="372"/>
        <v>12.944597733478437</v>
      </c>
      <c r="J372" s="1">
        <f t="shared" si="372"/>
        <v>12.594502386949168</v>
      </c>
      <c r="K372" s="1">
        <f t="shared" si="372"/>
        <v>14.715770487135199</v>
      </c>
      <c r="L372" s="1">
        <f t="shared" ref="L372" si="373">SUM(L373:L378)</f>
        <v>24.605154894073518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9.1018153918462339</v>
      </c>
      <c r="G373" s="1">
        <f t="shared" si="374"/>
        <v>10.224740664027786</v>
      </c>
      <c r="H373" s="1">
        <f t="shared" si="374"/>
        <v>11.689709820427595</v>
      </c>
      <c r="I373" s="1">
        <f t="shared" si="374"/>
        <v>10.870018560593113</v>
      </c>
      <c r="J373" s="1">
        <f t="shared" si="374"/>
        <v>10.479393932171828</v>
      </c>
      <c r="K373" s="1">
        <f t="shared" si="374"/>
        <v>8.29183909838323</v>
      </c>
      <c r="L373" s="1">
        <f t="shared" ref="L373" si="375">L366*IFERROR(L145/L138,0)</f>
        <v>4.4773193532527088E-3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3.5332933525085903</v>
      </c>
      <c r="L374" s="1">
        <f t="shared" ref="L374" si="377">L367*IFERROR(L146/L139,0)</f>
        <v>13.665302476890709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1.9487536214904155</v>
      </c>
      <c r="G375" s="1">
        <f t="shared" si="378"/>
        <v>1.9106283546972418</v>
      </c>
      <c r="H375" s="1">
        <f t="shared" si="378"/>
        <v>1.8105286642673646</v>
      </c>
      <c r="I375" s="1">
        <f t="shared" si="378"/>
        <v>2.0444066502405969</v>
      </c>
      <c r="J375" s="1">
        <f t="shared" si="378"/>
        <v>2.1097198583796128</v>
      </c>
      <c r="K375" s="1">
        <f t="shared" si="378"/>
        <v>1.9745164738687051</v>
      </c>
      <c r="L375" s="1">
        <f t="shared" ref="L375" si="379">L368*IFERROR(L147/L140,0)</f>
        <v>8.340993239245984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0.39494146599617147</v>
      </c>
      <c r="L376" s="1">
        <f t="shared" ref="L376" si="381">L369*IFERROR(L148/L141,0)</f>
        <v>1.4032971908657945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0.39445467136869372</v>
      </c>
      <c r="G377" s="1">
        <f t="shared" ref="G377:K377" si="382">G363</f>
        <v>0.43300881995197105</v>
      </c>
      <c r="H377" s="1">
        <f t="shared" si="382"/>
        <v>2.394772767900772E-2</v>
      </c>
      <c r="I377" s="1">
        <f t="shared" si="382"/>
        <v>3.0172522644727841E-2</v>
      </c>
      <c r="J377" s="1">
        <f t="shared" si="382"/>
        <v>5.3885963977272546E-3</v>
      </c>
      <c r="K377" s="1">
        <f t="shared" si="382"/>
        <v>3.0303431279448205E-3</v>
      </c>
      <c r="L377" s="1">
        <f t="shared" ref="L377" si="383">L363</f>
        <v>7.8959382809000369E-4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0.51814975325055779</v>
      </c>
      <c r="L378" s="1">
        <f t="shared" ref="L378" si="385">L364</f>
        <v>1.1902950738896856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0.18165528715321963</v>
      </c>
      <c r="G379" s="1">
        <f t="shared" ref="G379:K379" si="386">SUM(G380:G386)</f>
        <v>0.39880877077936833</v>
      </c>
      <c r="H379" s="1">
        <f t="shared" si="386"/>
        <v>1.1801065689945827</v>
      </c>
      <c r="I379" s="1">
        <f t="shared" si="386"/>
        <v>2.4707913727888386</v>
      </c>
      <c r="J379" s="1">
        <f t="shared" si="386"/>
        <v>3.6432928235247433</v>
      </c>
      <c r="K379" s="1">
        <f t="shared" si="386"/>
        <v>4.185839563764965</v>
      </c>
      <c r="L379" s="1">
        <f t="shared" ref="L379" si="387">SUM(L380:L386)</f>
        <v>7.5440409097192864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7.5971511517630209E-4</v>
      </c>
      <c r="G380" s="1">
        <f>IFERROR(G152/SUM(G152,G207),0)*'[1]Electricity and CHPs_IN'!C$25</f>
        <v>4.6793035404071583E-4</v>
      </c>
      <c r="H380" s="1">
        <f>IFERROR(H152/SUM(H152,H207),0)*'[1]Electricity and CHPs_IN'!D$25</f>
        <v>7.7363872484923748E-4</v>
      </c>
      <c r="I380" s="1">
        <f>IFERROR(I152/SUM(I152,I207),0)*'[1]Electricity and CHPs_IN'!E$25</f>
        <v>5.6459674464534711E-2</v>
      </c>
      <c r="J380" s="1">
        <f>IFERROR(J152/SUM(J152,J207),0)*'[2]Electricity and CHPs_IN'!F$25</f>
        <v>0.77870319466733096</v>
      </c>
      <c r="K380" s="1">
        <f>IFERROR(K152/SUM(K152,K207),0)*'[2]Electricity and CHPs_IN'!G$25</f>
        <v>0.86578174465233704</v>
      </c>
      <c r="L380" s="1">
        <f>IFERROR(L152/SUM(L152,L207),0)*'[2]Electricity and CHPs_IN'!H$25</f>
        <v>1.0149278377451556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6.3640072602607102E-3</v>
      </c>
      <c r="L381" s="1">
        <f>'[2]Electricity and CHPs_IN'!H$31</f>
        <v>3.0025358521642325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0.18089557203804332</v>
      </c>
      <c r="G382" s="1">
        <f>IFERROR(G154/SUM(G154,G283),0)*'[1]Electricity and CHPs_IN'!C$42</f>
        <v>0.39834084042532764</v>
      </c>
      <c r="H382" s="1">
        <f>IFERROR(H154/SUM(H154,H283),0)*'[1]Electricity and CHPs_IN'!D$42</f>
        <v>1.1793329302697335</v>
      </c>
      <c r="I382" s="1">
        <f>IFERROR(I154/SUM(I154,I283),0)*'[1]Electricity and CHPs_IN'!E$42</f>
        <v>2.4143316983243039</v>
      </c>
      <c r="J382" s="1">
        <f>IFERROR(J154/SUM(J154,J283),0)*'[2]Electricity and CHPs_IN'!F$42</f>
        <v>2.5651006034691552</v>
      </c>
      <c r="K382" s="1">
        <f>IFERROR(K154/SUM(K154,K283),0)*'[2]Electricity and CHPs_IN'!G$42</f>
        <v>2.4374991778756097</v>
      </c>
      <c r="L382" s="1">
        <f>IFERROR(L154/SUM(L154,L283),0)*'[2]Electricity and CHPs_IN'!H$42</f>
        <v>2.2023990231853166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0.29460517435995492</v>
      </c>
      <c r="L383" s="1">
        <f>IFERROR(L155/SUM(L155,L284),0)*'[2]Electricity and CHPs_IN'!H$43</f>
        <v>1.2291087762511546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7.6047465822911171E-3</v>
      </c>
      <c r="K384" s="1">
        <f>IFERROR(K156/SUM(K285,K156),0)*'[2]Electricity and CHPs_IN'!G$50</f>
        <v>7.1466256846895171E-3</v>
      </c>
      <c r="L384" s="1">
        <f>IFERROR(L156/SUM(L285,L156),0)*'[2]Electricity and CHPs_IN'!H$50</f>
        <v>2.8192511942158596E-3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0.28780642259310502</v>
      </c>
      <c r="K385" s="1">
        <f>IFERROR(K157/SUM(K286,K157),0)*'[2]Electricity and CHPs_IN'!G$53</f>
        <v>0.57207578607147758</v>
      </c>
      <c r="L385" s="1">
        <f>IFERROR(L157/SUM(L286,L157),0)*'[2]Electricity and CHPs_IN'!H$53</f>
        <v>9.1259642185682069E-2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4.0778562128607771E-3</v>
      </c>
      <c r="K386" s="1">
        <f>IFERROR(K158/SUM(K287,K158),0)*'[2]Electricity and CHPs_IN'!G$56</f>
        <v>2.3670478606354762E-3</v>
      </c>
      <c r="L386" s="1">
        <f>IFERROR(L158/SUM(L287,L158),0)*'[2]Electricity and CHPs_IN'!H$56</f>
        <v>9.9052699352987581E-4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0.54530775595618142</v>
      </c>
      <c r="H387" s="1">
        <f t="shared" si="388"/>
        <v>0.50318035428973074</v>
      </c>
      <c r="I387" s="1">
        <f t="shared" si="388"/>
        <v>2.0503052471689203</v>
      </c>
      <c r="J387" s="1">
        <f t="shared" si="388"/>
        <v>3.6359136971127484</v>
      </c>
      <c r="K387" s="1">
        <f t="shared" si="388"/>
        <v>7.1993686268488046</v>
      </c>
      <c r="L387" s="1">
        <f t="shared" si="388"/>
        <v>28.866691214106275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0.54530775595618142</v>
      </c>
      <c r="H388" s="1">
        <f>'[1]Electricity and CHPs_IN'!D$33</f>
        <v>0.50318035428973074</v>
      </c>
      <c r="I388" s="1">
        <f>'[1]Electricity and CHPs_IN'!E$33</f>
        <v>2.0503052471689203</v>
      </c>
      <c r="J388" s="1">
        <f>'[2]Electricity and CHPs_IN'!F$33</f>
        <v>3.6359136971127484</v>
      </c>
      <c r="K388" s="1">
        <f>'[2]Electricity and CHPs_IN'!G$33</f>
        <v>7.1993686268488046</v>
      </c>
      <c r="L388" s="1">
        <f>'[2]Electricity and CHPs_IN'!H$33</f>
        <v>28.866691214106275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12.823119108238448</v>
      </c>
      <c r="H389" s="1">
        <f t="shared" si="389"/>
        <v>28.80018917143267</v>
      </c>
      <c r="I389" s="1">
        <f t="shared" si="389"/>
        <v>52.309468048653898</v>
      </c>
      <c r="J389" s="1">
        <f t="shared" si="389"/>
        <v>65.570233971815256</v>
      </c>
      <c r="K389" s="1">
        <f t="shared" si="389"/>
        <v>139.84976157963263</v>
      </c>
      <c r="L389" s="1">
        <f t="shared" ref="L389" si="390">SUM(L390:L394)</f>
        <v>152.87611308484162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0.14061592372971998</v>
      </c>
      <c r="I390" s="1">
        <f>'[1]Electricity and CHPs_IN'!E34</f>
        <v>0.57957701760343749</v>
      </c>
      <c r="J390" s="1">
        <f>'[2]Electricity and CHPs_IN'!F34</f>
        <v>2.1035432273841494</v>
      </c>
      <c r="K390" s="1">
        <f>'[2]Electricity and CHPs_IN'!G34</f>
        <v>17.943283841422485</v>
      </c>
      <c r="L390" s="1">
        <f>'[2]Electricity and CHPs_IN'!H34</f>
        <v>18.107481707106274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4.8486281142671022</v>
      </c>
      <c r="H391" s="1">
        <f>'[1]Electricity and CHPs_IN'!D35</f>
        <v>11.161305651766572</v>
      </c>
      <c r="I391" s="1">
        <f>'[1]Electricity and CHPs_IN'!E35</f>
        <v>19.477151131911679</v>
      </c>
      <c r="J391" s="1">
        <f>'[2]Electricity and CHPs_IN'!F35</f>
        <v>30.162363785519243</v>
      </c>
      <c r="K391" s="1">
        <f>'[2]Electricity and CHPs_IN'!G35</f>
        <v>40.847634641310947</v>
      </c>
      <c r="L391" s="1">
        <f>'[2]Electricity and CHPs_IN'!H35</f>
        <v>45.121203699660143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3.3914827647697323</v>
      </c>
      <c r="H392" s="1">
        <f>'[1]Electricity and CHPs_IN'!D36</f>
        <v>4.6620329377745984</v>
      </c>
      <c r="I392" s="1">
        <f>'[1]Electricity and CHPs_IN'!E36</f>
        <v>11.187020787587855</v>
      </c>
      <c r="J392" s="1">
        <f>'[2]Electricity and CHPs_IN'!F36</f>
        <v>11.802023245318566</v>
      </c>
      <c r="K392" s="1">
        <f>'[2]Electricity and CHPs_IN'!G36</f>
        <v>12.452245881246762</v>
      </c>
      <c r="L392" s="1">
        <f>'[2]Electricity and CHPs_IN'!H36</f>
        <v>13.863056583652925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1.2885477144662159</v>
      </c>
      <c r="H393" s="1">
        <f>'[1]Electricity and CHPs_IN'!D37</f>
        <v>2.869986314729239</v>
      </c>
      <c r="I393" s="1">
        <f>'[1]Electricity and CHPs_IN'!E37</f>
        <v>3.1633710222567237</v>
      </c>
      <c r="J393" s="1">
        <f>'[2]Electricity and CHPs_IN'!F37</f>
        <v>2.6809187149518623</v>
      </c>
      <c r="K393" s="1">
        <f>'[2]Electricity and CHPs_IN'!G37</f>
        <v>28.129712431015374</v>
      </c>
      <c r="L393" s="1">
        <f>'[2]Electricity and CHPs_IN'!H37</f>
        <v>31.072706461563044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3.2944605147353974</v>
      </c>
      <c r="H394" s="1">
        <f>'[1]Electricity and CHPs_IN'!D38</f>
        <v>9.9662483434325413</v>
      </c>
      <c r="I394" s="1">
        <f>'[1]Electricity and CHPs_IN'!E38</f>
        <v>17.9023480892942</v>
      </c>
      <c r="J394" s="1">
        <f>'[2]Electricity and CHPs_IN'!F38</f>
        <v>18.821384998641435</v>
      </c>
      <c r="K394" s="1">
        <f>'[2]Electricity and CHPs_IN'!G38</f>
        <v>40.476884784637036</v>
      </c>
      <c r="L394" s="1">
        <f>'[2]Electricity and CHPs_IN'!H38</f>
        <v>44.711664632859254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7.7849317617903182</v>
      </c>
      <c r="L396" s="1">
        <f>'[2]Electricity and CHPs_IN'!H$32</f>
        <v>49.726102264164759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4.9886898971186151E-2</v>
      </c>
      <c r="J397" s="1">
        <f t="shared" ref="J397" si="395">SUM(J398:J400)</f>
        <v>1.9341464895960572E-2</v>
      </c>
      <c r="K397" s="1">
        <f t="shared" ref="K397:L397" si="396">SUM(K398:K400)</f>
        <v>0.22329434729853109</v>
      </c>
      <c r="L397" s="1">
        <f t="shared" si="396"/>
        <v>0.45890052065532366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4.9933728270362687E-3</v>
      </c>
      <c r="L398" s="1">
        <f>IFERROR(L170/SUM(L170,L209),0)*'[2]Electricity and CHPs_IN'!H$30</f>
        <v>0.25751625523274307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1.2444622599580424E-2</v>
      </c>
      <c r="K399" s="1">
        <f>IFERROR(K171/SUM(K171,K289),0)*'[2]Electricity and CHPs_IN'!G$46</f>
        <v>0.20622426365616975</v>
      </c>
      <c r="L399" s="1">
        <f>IFERROR(L171/SUM(L171,L289),0)*'[2]Electricity and CHPs_IN'!H$46</f>
        <v>0.18811308908777075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4.9886898971186151E-2</v>
      </c>
      <c r="J400" s="1">
        <f>IFERROR(J172/SUM(J172,J290),0)*'[2]Electricity and CHPs_IN'!F$57</f>
        <v>6.8968422963801481E-3</v>
      </c>
      <c r="K400" s="1">
        <f>IFERROR(K172/SUM(K172,K290),0)*'[2]Electricity and CHPs_IN'!G$57</f>
        <v>1.2076710815325079E-2</v>
      </c>
      <c r="L400" s="1">
        <f>IFERROR(L172/SUM(L172,L290),0)*'[2]Electricity and CHPs_IN'!H$57</f>
        <v>1.3271176334809856E-2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0.45593306032952807</v>
      </c>
      <c r="G401" s="1">
        <f t="shared" ref="G401:K401" si="397">SUM(G402:G408)</f>
        <v>0.3652829847079232</v>
      </c>
      <c r="H401" s="1">
        <f t="shared" si="397"/>
        <v>1.0006392560522566</v>
      </c>
      <c r="I401" s="1">
        <f t="shared" si="397"/>
        <v>2.3754145349072311</v>
      </c>
      <c r="J401" s="1">
        <f t="shared" si="397"/>
        <v>2.002807100153015</v>
      </c>
      <c r="K401" s="1">
        <f t="shared" si="397"/>
        <v>5.8929319475865229</v>
      </c>
      <c r="L401" s="1">
        <f t="shared" ref="L401" si="398">SUM(L402:L408)</f>
        <v>9.1307338809181324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0.14259270360686971</v>
      </c>
      <c r="G402" s="1">
        <f>'[1]Electricity and CHPs_IN'!C63</f>
        <v>6.7111088028825455E-2</v>
      </c>
      <c r="H402" s="1">
        <f>'[1]Electricity and CHPs_IN'!D63</f>
        <v>9.591150856597179E-2</v>
      </c>
      <c r="I402" s="1">
        <f>'[1]Electricity and CHPs_IN'!E63</f>
        <v>0.13523474292896367</v>
      </c>
      <c r="J402" s="1">
        <f>'[2]Electricity and CHPs_IN'!F63</f>
        <v>1.7852827893906083E-2</v>
      </c>
      <c r="K402" s="1">
        <f>'[2]Electricity and CHPs_IN'!G63</f>
        <v>2.818048286296921E-2</v>
      </c>
      <c r="L402" s="1">
        <f>'[2]Electricity and CHPs_IN'!H63</f>
        <v>0.12124209386604323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7.568817361514843E-2</v>
      </c>
      <c r="G403" s="1">
        <f>'[1]Electricity and CHPs_IN'!C64</f>
        <v>7.1510951842750053E-2</v>
      </c>
      <c r="H403" s="1">
        <f>'[1]Electricity and CHPs_IN'!D64</f>
        <v>7.3281443349705988E-2</v>
      </c>
      <c r="I403" s="1">
        <f>'[1]Electricity and CHPs_IN'!E64</f>
        <v>0.21589922497023142</v>
      </c>
      <c r="J403" s="1">
        <f>'[2]Electricity and CHPs_IN'!F64</f>
        <v>0.20181901249616385</v>
      </c>
      <c r="K403" s="1">
        <f>'[2]Electricity and CHPs_IN'!G64</f>
        <v>2.0645745416790322</v>
      </c>
      <c r="L403" s="1">
        <f>'[2]Electricity and CHPs_IN'!H64</f>
        <v>3.0226964364452544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7.3999378163524338E-2</v>
      </c>
      <c r="G404" s="1">
        <f>'[1]Electricity and CHPs_IN'!C65</f>
        <v>6.2665356006377029E-2</v>
      </c>
      <c r="H404" s="1">
        <f>'[1]Electricity and CHPs_IN'!D65</f>
        <v>6.4617068089746862E-2</v>
      </c>
      <c r="I404" s="1">
        <f>'[1]Electricity and CHPs_IN'!E65</f>
        <v>0.14298741531296721</v>
      </c>
      <c r="J404" s="1">
        <f>'[2]Electricity and CHPs_IN'!F65</f>
        <v>0.12428053474314817</v>
      </c>
      <c r="K404" s="1">
        <f>'[2]Electricity and CHPs_IN'!G65</f>
        <v>1.5444963177919218</v>
      </c>
      <c r="L404" s="1">
        <f>'[2]Electricity and CHPs_IN'!H65</f>
        <v>2.9726567669716411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2.6988860836167975E-2</v>
      </c>
      <c r="G405" s="1">
        <f>'[1]Electricity and CHPs_IN'!C66</f>
        <v>2.7063249737833448E-2</v>
      </c>
      <c r="H405" s="1">
        <f>'[1]Electricity and CHPs_IN'!D66</f>
        <v>0.14563440610302489</v>
      </c>
      <c r="I405" s="1">
        <f>'[1]Electricity and CHPs_IN'!E66</f>
        <v>0.31014545012189976</v>
      </c>
      <c r="J405" s="1">
        <f>'[2]Electricity and CHPs_IN'!F66</f>
        <v>0.38430796267109019</v>
      </c>
      <c r="K405" s="1">
        <f>'[2]Electricity and CHPs_IN'!G66</f>
        <v>0.35924344460645841</v>
      </c>
      <c r="L405" s="1">
        <f>'[2]Electricity and CHPs_IN'!H66</f>
        <v>0.47027127209588848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5.6926372581146967E-2</v>
      </c>
      <c r="G406" s="1">
        <f>'[1]Electricity and CHPs_IN'!C67</f>
        <v>5.7040408185467774E-2</v>
      </c>
      <c r="H406" s="1">
        <f>'[1]Electricity and CHPs_IN'!D67</f>
        <v>0.31627214219597655</v>
      </c>
      <c r="I406" s="1">
        <f>'[1]Electricity and CHPs_IN'!E67</f>
        <v>0.90312027066322043</v>
      </c>
      <c r="J406" s="1">
        <f>'[2]Electricity and CHPs_IN'!F67</f>
        <v>0.72810080649221498</v>
      </c>
      <c r="K406" s="1">
        <f>'[2]Electricity and CHPs_IN'!G67</f>
        <v>0.60258250391522972</v>
      </c>
      <c r="L406" s="1">
        <f>'[2]Electricity and CHPs_IN'!H67</f>
        <v>0.82509851527940103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5.1671772909639355E-2</v>
      </c>
      <c r="G407" s="1">
        <f>'[1]Electricity and CHPs_IN'!C68</f>
        <v>5.1777503542751388E-2</v>
      </c>
      <c r="H407" s="1">
        <f>'[1]Electricity and CHPs_IN'!D68</f>
        <v>9.8830390023417036E-2</v>
      </c>
      <c r="I407" s="1">
        <f>'[1]Electricity and CHPs_IN'!E68</f>
        <v>0.10145308080786458</v>
      </c>
      <c r="J407" s="1">
        <f>'[2]Electricity and CHPs_IN'!F68</f>
        <v>7.5720628866933606E-2</v>
      </c>
      <c r="K407" s="1">
        <f>'[2]Electricity and CHPs_IN'!G68</f>
        <v>0.53031348111843779</v>
      </c>
      <c r="L407" s="1">
        <f>'[2]Electricity and CHPs_IN'!H68</f>
        <v>0.69738595859256547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2.8065798617031283E-2</v>
      </c>
      <c r="G408" s="1">
        <f>'[1]Electricity and CHPs_IN'!C69</f>
        <v>2.8114427363918042E-2</v>
      </c>
      <c r="H408" s="1">
        <f>'[1]Electricity and CHPs_IN'!D69</f>
        <v>0.20609229772441351</v>
      </c>
      <c r="I408" s="1">
        <f>'[1]Electricity and CHPs_IN'!E69</f>
        <v>0.56657435010208379</v>
      </c>
      <c r="J408" s="1">
        <f>'[2]Electricity and CHPs_IN'!F69</f>
        <v>0.47072532698955805</v>
      </c>
      <c r="K408" s="1">
        <f>'[2]Electricity and CHPs_IN'!G69</f>
        <v>0.76354117561247381</v>
      </c>
      <c r="L408" s="1">
        <f>'[2]Electricity and CHPs_IN'!H69</f>
        <v>1.0213828376673395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57.475195483232667</v>
      </c>
      <c r="G409" s="3">
        <f t="shared" ref="G409:K409" si="400">G410+G463</f>
        <v>55.696891609503069</v>
      </c>
      <c r="H409" s="3">
        <f t="shared" si="400"/>
        <v>51.48717977046428</v>
      </c>
      <c r="I409" s="3">
        <f>IFERROR(I410+I463,0)</f>
        <v>54.282077350298124</v>
      </c>
      <c r="J409" s="3">
        <f t="shared" si="400"/>
        <v>57.279703342357053</v>
      </c>
      <c r="K409" s="3">
        <f t="shared" si="400"/>
        <v>62.195217557037374</v>
      </c>
      <c r="L409" s="3">
        <f>IFERROR(L410+L463,0)</f>
        <v>53.896934125036182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48.72509165178743</v>
      </c>
      <c r="G410" s="1">
        <f t="shared" si="401"/>
        <v>47.038589919489624</v>
      </c>
      <c r="H410" s="1">
        <f t="shared" si="401"/>
        <v>43.736523460421296</v>
      </c>
      <c r="I410" s="1">
        <f t="shared" si="401"/>
        <v>46.653960257245302</v>
      </c>
      <c r="J410" s="1">
        <f t="shared" si="401"/>
        <v>47.720478248684287</v>
      </c>
      <c r="K410" s="1">
        <f t="shared" si="401"/>
        <v>49.825846128132852</v>
      </c>
      <c r="L410" s="1">
        <f t="shared" ref="L410" si="402">L411+L440</f>
        <v>37.587143125705666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39.159992071789503</v>
      </c>
      <c r="G411" s="1">
        <f t="shared" ref="G411:K411" si="403">SUM(G412,G418,G427,G436,G438)</f>
        <v>35.294048680785792</v>
      </c>
      <c r="H411" s="1">
        <f t="shared" si="403"/>
        <v>33.382339720136002</v>
      </c>
      <c r="I411" s="1">
        <f t="shared" si="403"/>
        <v>36.919727324915101</v>
      </c>
      <c r="J411" s="1">
        <f t="shared" si="403"/>
        <v>38.373518468081514</v>
      </c>
      <c r="K411" s="1">
        <f t="shared" si="403"/>
        <v>41.432527181612414</v>
      </c>
      <c r="L411" s="1">
        <f t="shared" ref="L411" si="404">SUM(L412,L418,L427,L436,L438)</f>
        <v>28.21036371906769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0.11394369058779703</v>
      </c>
      <c r="G412" s="1">
        <f t="shared" ref="G412:L412" si="405">G413</f>
        <v>0.26267656975551534</v>
      </c>
      <c r="H412" s="1">
        <f t="shared" si="405"/>
        <v>8.1957260329040854E-2</v>
      </c>
      <c r="I412" s="1">
        <f t="shared" si="405"/>
        <v>1.6429054759685043E-2</v>
      </c>
      <c r="J412" s="1">
        <f t="shared" si="405"/>
        <v>9.2763032835609712E-3</v>
      </c>
      <c r="K412" s="1">
        <f t="shared" si="405"/>
        <v>3.7607071058733863E-3</v>
      </c>
      <c r="L412" s="1">
        <f t="shared" si="405"/>
        <v>1.2726633111216916E-4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0.11394369058779703</v>
      </c>
      <c r="G413" s="1">
        <f>'[1]Electricity and CHPs_IN'!C$28-G300</f>
        <v>0.26267656975551534</v>
      </c>
      <c r="H413" s="1">
        <f>'[1]Electricity and CHPs_IN'!D$28-H300</f>
        <v>8.1957260329040854E-2</v>
      </c>
      <c r="I413" s="1">
        <f>'[1]Electricity and CHPs_IN'!E$28-I300</f>
        <v>1.6429054759685043E-2</v>
      </c>
      <c r="J413" s="1">
        <f>'[2]Electricity and CHPs_IN'!F$28-J300</f>
        <v>9.2763032835609712E-3</v>
      </c>
      <c r="K413" s="1">
        <f>'[2]Electricity and CHPs_IN'!G$28-K300</f>
        <v>3.7607071058733863E-3</v>
      </c>
      <c r="L413" s="1">
        <f>'[2]Electricity and CHPs_IN'!H$28-L300</f>
        <v>1.2726633111216916E-4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0.11394369058779703</v>
      </c>
      <c r="G414" s="1">
        <f t="shared" ref="G414:L414" si="406">G415</f>
        <v>0.26267656975551534</v>
      </c>
      <c r="H414" s="1">
        <f t="shared" si="406"/>
        <v>8.1957260329040854E-2</v>
      </c>
      <c r="I414" s="1">
        <f t="shared" si="406"/>
        <v>1.6429054759685043E-2</v>
      </c>
      <c r="J414" s="1">
        <f t="shared" si="406"/>
        <v>9.2763032835609712E-3</v>
      </c>
      <c r="K414" s="1">
        <f t="shared" si="406"/>
        <v>3.7607071058733863E-3</v>
      </c>
      <c r="L414" s="1">
        <f t="shared" si="406"/>
        <v>1.2726633111216916E-4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0.11394369058779703</v>
      </c>
      <c r="G415" s="1">
        <f t="shared" ref="G415:K415" si="407">G413-G417</f>
        <v>0.26267656975551534</v>
      </c>
      <c r="H415" s="1">
        <f t="shared" si="407"/>
        <v>8.1957260329040854E-2</v>
      </c>
      <c r="I415" s="1">
        <f t="shared" si="407"/>
        <v>1.6429054759685043E-2</v>
      </c>
      <c r="J415" s="1">
        <f t="shared" si="407"/>
        <v>9.2763032835609712E-3</v>
      </c>
      <c r="K415" s="1">
        <f t="shared" si="407"/>
        <v>3.7607071058733863E-3</v>
      </c>
      <c r="L415" s="1">
        <f t="shared" ref="L415" si="408">L413-L417</f>
        <v>1.2726633111216916E-4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2.6115575313193276</v>
      </c>
      <c r="G418" s="1">
        <f t="shared" ref="G418:K418" si="412">SUM(G419:G420)</f>
        <v>5.502911676430515E-2</v>
      </c>
      <c r="H418" s="1">
        <f t="shared" si="412"/>
        <v>0.23209696323223797</v>
      </c>
      <c r="I418" s="1">
        <f t="shared" si="412"/>
        <v>0</v>
      </c>
      <c r="J418" s="1">
        <f t="shared" si="412"/>
        <v>0</v>
      </c>
      <c r="K418" s="1">
        <f t="shared" si="412"/>
        <v>1.1002829095417767E-6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2.6115575313193276</v>
      </c>
      <c r="G419" s="1">
        <f>'[1]Electricity and CHPs_IN'!C$24-G314</f>
        <v>5.502911676430515E-2</v>
      </c>
      <c r="H419" s="1">
        <f>'[1]Electricity and CHPs_IN'!D$24-H314</f>
        <v>0.23209696323223797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1.1002829095417767E-6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2.5456515650766312</v>
      </c>
      <c r="G421" s="1">
        <f t="shared" ref="G421:K421" si="414">SUM(G422:G423)</f>
        <v>5.3127849597454875E-2</v>
      </c>
      <c r="H421" s="1">
        <f t="shared" si="414"/>
        <v>0.21955957629196063</v>
      </c>
      <c r="I421" s="1">
        <f t="shared" si="414"/>
        <v>0</v>
      </c>
      <c r="J421" s="1">
        <f t="shared" si="414"/>
        <v>0</v>
      </c>
      <c r="K421" s="1">
        <f t="shared" si="414"/>
        <v>1.1002829095417767E-6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2.5456515650766312</v>
      </c>
      <c r="G422" s="1">
        <f t="shared" ref="G422:K422" si="416">G419-G425</f>
        <v>5.3127849597454875E-2</v>
      </c>
      <c r="H422" s="1">
        <f t="shared" si="416"/>
        <v>0.21955957629196063</v>
      </c>
      <c r="I422" s="1">
        <f t="shared" si="416"/>
        <v>0</v>
      </c>
      <c r="J422" s="1">
        <f t="shared" si="416"/>
        <v>0</v>
      </c>
      <c r="K422" s="1">
        <f t="shared" si="416"/>
        <v>1.1002829095417767E-6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6.5905966242696429E-2</v>
      </c>
      <c r="G424" s="1">
        <f t="shared" ref="G424:K424" si="420">SUM(G425:G426)</f>
        <v>1.901267166850275E-3</v>
      </c>
      <c r="H424" s="1">
        <f t="shared" si="420"/>
        <v>1.2537386940277336E-2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6.5905966242696429E-2</v>
      </c>
      <c r="G425" s="1">
        <f t="shared" ref="G425:K425" si="422">IFERROR(G346/G314,0)*G419</f>
        <v>1.901267166850275E-3</v>
      </c>
      <c r="H425" s="1">
        <f t="shared" si="422"/>
        <v>1.2537386940277336E-2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36.420746654922482</v>
      </c>
      <c r="G427" s="1">
        <f t="shared" ref="G427:K427" si="426">SUM(G428:G429)</f>
        <v>34.943729025239783</v>
      </c>
      <c r="H427" s="1">
        <f t="shared" si="426"/>
        <v>33.024879865498576</v>
      </c>
      <c r="I427" s="1">
        <f t="shared" si="426"/>
        <v>36.747664706893453</v>
      </c>
      <c r="J427" s="1">
        <f t="shared" si="426"/>
        <v>36.327578737700094</v>
      </c>
      <c r="K427" s="1">
        <f t="shared" si="426"/>
        <v>39.091174827051695</v>
      </c>
      <c r="L427" s="1">
        <f t="shared" ref="L427" si="427">SUM(L428:L429)</f>
        <v>25.118973873193461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36.420746654922482</v>
      </c>
      <c r="G428" s="1">
        <f>'[1]Electricity and CHPs_IN'!C$26-G361</f>
        <v>34.943729025239783</v>
      </c>
      <c r="H428" s="1">
        <f>'[1]Electricity and CHPs_IN'!D$26-H361</f>
        <v>33.024879865498576</v>
      </c>
      <c r="I428" s="1">
        <f>'[1]Electricity and CHPs_IN'!E$26-I361</f>
        <v>36.747664706893453</v>
      </c>
      <c r="J428" s="1">
        <f>'[2]Electricity and CHPs_IN'!F$26-J361</f>
        <v>36.327578737700094</v>
      </c>
      <c r="K428" s="1">
        <f>'[2]Electricity and CHPs_IN'!G$26-K361</f>
        <v>31.679964278573859</v>
      </c>
      <c r="L428" s="1">
        <f>'[2]Electricity and CHPs_IN'!H$26-L361</f>
        <v>0.25254765105157873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7.4112105484778379</v>
      </c>
      <c r="L429" s="1">
        <f>'[2]Electricity and CHPs_IN'!H$27-L362</f>
        <v>24.866426222141882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18.210373327461241</v>
      </c>
      <c r="G430" s="1">
        <f t="shared" ref="G430:K430" si="428">SUM(G431:G432)</f>
        <v>17.471864512619891</v>
      </c>
      <c r="H430" s="1">
        <f t="shared" si="428"/>
        <v>16.512439932749288</v>
      </c>
      <c r="I430" s="1">
        <f t="shared" si="428"/>
        <v>18.373832353446726</v>
      </c>
      <c r="J430" s="1">
        <f t="shared" si="428"/>
        <v>18.163789368850047</v>
      </c>
      <c r="K430" s="1">
        <f t="shared" si="428"/>
        <v>19.545587413525848</v>
      </c>
      <c r="L430" s="1">
        <f t="shared" ref="L430" si="429">SUM(L431:L432)</f>
        <v>12.559486936596729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18.210373327461241</v>
      </c>
      <c r="G431" s="1">
        <f t="shared" ref="G431:K431" si="430">IFERROR(G368/G361,0)*G428</f>
        <v>17.471864512619891</v>
      </c>
      <c r="H431" s="1">
        <f t="shared" si="430"/>
        <v>16.512439932749288</v>
      </c>
      <c r="I431" s="1">
        <f t="shared" si="430"/>
        <v>18.373832353446726</v>
      </c>
      <c r="J431" s="1">
        <f t="shared" si="430"/>
        <v>18.163789368850047</v>
      </c>
      <c r="K431" s="1">
        <f t="shared" si="430"/>
        <v>15.83998213928693</v>
      </c>
      <c r="L431" s="1">
        <f t="shared" ref="L431" si="431">IFERROR(L368/L361,0)*L428</f>
        <v>0.12627382552578936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3.7056052742389189</v>
      </c>
      <c r="L432" s="1">
        <f t="shared" ref="L432" si="433">IFERROR(L369/L362,0)*L429</f>
        <v>12.433213111070939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18.210373327461241</v>
      </c>
      <c r="G433" s="1">
        <f t="shared" ref="G433:K433" si="434">SUM(G434:G435)</f>
        <v>17.471864512619891</v>
      </c>
      <c r="H433" s="1">
        <f t="shared" si="434"/>
        <v>16.512439932749288</v>
      </c>
      <c r="I433" s="1">
        <f t="shared" si="434"/>
        <v>18.373832353446726</v>
      </c>
      <c r="J433" s="1">
        <f t="shared" si="434"/>
        <v>18.163789368850047</v>
      </c>
      <c r="K433" s="1">
        <f t="shared" si="434"/>
        <v>19.545587413525848</v>
      </c>
      <c r="L433" s="1">
        <f t="shared" ref="L433" si="435">SUM(L434:L435)</f>
        <v>12.559486936596732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18.210373327461241</v>
      </c>
      <c r="G434" s="1">
        <f t="shared" ref="G434:K434" si="436">G428-G431</f>
        <v>17.471864512619891</v>
      </c>
      <c r="H434" s="1">
        <f t="shared" si="436"/>
        <v>16.512439932749288</v>
      </c>
      <c r="I434" s="1">
        <f t="shared" si="436"/>
        <v>18.373832353446726</v>
      </c>
      <c r="J434" s="1">
        <f t="shared" si="436"/>
        <v>18.163789368850047</v>
      </c>
      <c r="K434" s="1">
        <f t="shared" si="436"/>
        <v>15.83998213928693</v>
      </c>
      <c r="L434" s="1">
        <f t="shared" ref="L434" si="437">L428-L431</f>
        <v>0.12627382552578936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3.7056052742389189</v>
      </c>
      <c r="L435" s="1">
        <f t="shared" ref="L435" si="439">L429-L432</f>
        <v>12.433213111070943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1.3744194959898846E-2</v>
      </c>
      <c r="G436" s="1">
        <f t="shared" ref="G436:L436" si="440">G437</f>
        <v>3.2613969026188648E-2</v>
      </c>
      <c r="H436" s="1">
        <f t="shared" si="440"/>
        <v>4.3405631076145153E-2</v>
      </c>
      <c r="I436" s="1">
        <f t="shared" si="440"/>
        <v>0.15563356326196504</v>
      </c>
      <c r="J436" s="1">
        <f t="shared" si="440"/>
        <v>2.0366634270978583</v>
      </c>
      <c r="K436" s="1">
        <f t="shared" si="440"/>
        <v>2.3315271658819627</v>
      </c>
      <c r="L436" s="1">
        <f t="shared" si="440"/>
        <v>2.766301590797033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1.3744194959898846E-2</v>
      </c>
      <c r="G437" s="1">
        <f>'[1]Electricity and CHPs_IN'!C$25-G380</f>
        <v>3.2613969026188648E-2</v>
      </c>
      <c r="H437" s="1">
        <f>'[1]Electricity and CHPs_IN'!D$25-H380</f>
        <v>4.3405631076145153E-2</v>
      </c>
      <c r="I437" s="1">
        <f>'[1]Electricity and CHPs_IN'!E$25-I380</f>
        <v>0.15563356326196504</v>
      </c>
      <c r="J437" s="1">
        <f>'[2]Electricity and CHPs_IN'!F$25-J380</f>
        <v>2.0366634270978583</v>
      </c>
      <c r="K437" s="1">
        <f>'[2]Electricity and CHPs_IN'!G$25-K380</f>
        <v>2.3315271658819627</v>
      </c>
      <c r="L437" s="1">
        <f>'[2]Electricity and CHPs_IN'!H$25-L380</f>
        <v>2.766301590797033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6.063381289972589E-3</v>
      </c>
      <c r="L438" s="1">
        <f t="shared" si="441"/>
        <v>0.32496098874607987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6.063381289972589E-3</v>
      </c>
      <c r="L439" s="1">
        <f>'[2]Electricity and CHPs_IN'!H$30-L398</f>
        <v>0.32496098874607987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9.565099579997927</v>
      </c>
      <c r="G440" s="1">
        <f t="shared" ref="G440:K440" si="442">SUM(G441,G447,G449,G455,G457,G459,G461)</f>
        <v>11.744541238703835</v>
      </c>
      <c r="H440" s="1">
        <f t="shared" si="442"/>
        <v>10.35418374028529</v>
      </c>
      <c r="I440" s="1">
        <f t="shared" si="442"/>
        <v>9.7342329323301975</v>
      </c>
      <c r="J440" s="1">
        <f t="shared" si="442"/>
        <v>9.34695978060277</v>
      </c>
      <c r="K440" s="1">
        <f t="shared" si="442"/>
        <v>8.3933189465204343</v>
      </c>
      <c r="L440" s="1">
        <f t="shared" ref="L440" si="443">SUM(L441,L447,L449,L455,L457,L459,L461)</f>
        <v>9.3767794066379775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4.3964999953793491</v>
      </c>
      <c r="G441" s="1">
        <f t="shared" ref="G441:L441" si="444">+G442</f>
        <v>3.187974609756941</v>
      </c>
      <c r="H441" s="1">
        <f t="shared" si="444"/>
        <v>2.4528292887289025</v>
      </c>
      <c r="I441" s="1">
        <f t="shared" si="444"/>
        <v>2.3680399903741396</v>
      </c>
      <c r="J441" s="1">
        <f t="shared" si="444"/>
        <v>2.3679416169328777</v>
      </c>
      <c r="K441" s="1">
        <f t="shared" si="444"/>
        <v>2.3679309717418211</v>
      </c>
      <c r="L441" s="1">
        <f t="shared" si="444"/>
        <v>2.3679569496345612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4.3964999953793491</v>
      </c>
      <c r="G442" s="1">
        <f t="shared" ref="G442:K442" si="445">SUM(G444:G446)</f>
        <v>3.187974609756941</v>
      </c>
      <c r="H442" s="1">
        <f t="shared" si="445"/>
        <v>2.4528292887289025</v>
      </c>
      <c r="I442" s="1">
        <f t="shared" si="445"/>
        <v>2.3680399903741396</v>
      </c>
      <c r="J442" s="1">
        <f t="shared" si="445"/>
        <v>2.3679416169328777</v>
      </c>
      <c r="K442" s="1">
        <f t="shared" si="445"/>
        <v>2.3679309717418211</v>
      </c>
      <c r="L442" s="1">
        <f t="shared" ref="L442" si="446">SUM(L444:L446)</f>
        <v>2.3679569496345612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2.0283279054032661</v>
      </c>
      <c r="G443" s="1">
        <f t="shared" ref="G443:L443" si="447">G444</f>
        <v>0.81993622386271225</v>
      </c>
      <c r="H443" s="1">
        <f t="shared" si="447"/>
        <v>8.4770923279525318E-2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2.0283279054032661</v>
      </c>
      <c r="G444" s="1">
        <f>'[1]Electricity and CHPs_IN'!C$90</f>
        <v>0.81993622386271225</v>
      </c>
      <c r="H444" s="1">
        <f>'[1]Electricity and CHPs_IN'!D$90</f>
        <v>8.4770923279525318E-2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1.1840860449880417</v>
      </c>
      <c r="G445" s="1">
        <f t="shared" ref="G445:L445" si="448">G446</f>
        <v>1.1840191929471144</v>
      </c>
      <c r="H445" s="1">
        <f t="shared" si="448"/>
        <v>1.1840291827246885</v>
      </c>
      <c r="I445" s="1">
        <f t="shared" si="448"/>
        <v>1.1840199951870698</v>
      </c>
      <c r="J445" s="1">
        <f t="shared" si="448"/>
        <v>1.1839708084664389</v>
      </c>
      <c r="K445" s="1">
        <f t="shared" si="448"/>
        <v>1.1839654858709106</v>
      </c>
      <c r="L445" s="1">
        <f t="shared" si="448"/>
        <v>1.1839784748172806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1.1840860449880417</v>
      </c>
      <c r="G446" s="1">
        <f>'[1]Electricity and CHPs_IN'!C$91</f>
        <v>1.1840191929471144</v>
      </c>
      <c r="H446" s="1">
        <f>'[1]Electricity and CHPs_IN'!D$91</f>
        <v>1.1840291827246885</v>
      </c>
      <c r="I446" s="1">
        <f>'[1]Electricity and CHPs_IN'!E$91</f>
        <v>1.1840199951870698</v>
      </c>
      <c r="J446" s="1">
        <f>'[2]Electricity and CHPs_IN'!F$91</f>
        <v>1.1839708084664389</v>
      </c>
      <c r="K446" s="1">
        <f>'[2]Electricity and CHPs_IN'!G$91</f>
        <v>1.1839654858709106</v>
      </c>
      <c r="L446" s="1">
        <f>'[2]Electricity and CHPs_IN'!H$91</f>
        <v>1.1839784748172806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1.4503484521851611</v>
      </c>
      <c r="G447" s="1">
        <f t="shared" ref="G447:L447" si="449">G448</f>
        <v>3.8005723339729314</v>
      </c>
      <c r="H447" s="1">
        <f t="shared" si="449"/>
        <v>3.7610156438209685</v>
      </c>
      <c r="I447" s="1">
        <f t="shared" si="449"/>
        <v>1.0653320352998967</v>
      </c>
      <c r="J447" s="1">
        <f t="shared" si="449"/>
        <v>0.64965305370245496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1.4503484521851611</v>
      </c>
      <c r="G448" s="1">
        <f>'[1]Electricity and CHPs_IN'!C$92</f>
        <v>3.8005723339729314</v>
      </c>
      <c r="H448" s="1">
        <f>'[1]Electricity and CHPs_IN'!D$92</f>
        <v>3.7610156438209685</v>
      </c>
      <c r="I448" s="1">
        <f>'[1]Electricity and CHPs_IN'!E$92</f>
        <v>1.0653320352998967</v>
      </c>
      <c r="J448" s="1">
        <f>'[2]Electricity and CHPs_IN'!F$92</f>
        <v>0.64965305370245496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0.21574287415336313</v>
      </c>
      <c r="G449" s="1">
        <f t="shared" ref="G449:L449" si="450">G450</f>
        <v>0.2150865055357141</v>
      </c>
      <c r="H449" s="1">
        <f t="shared" si="450"/>
        <v>8.4084578973484207E-3</v>
      </c>
      <c r="I449" s="1">
        <f t="shared" si="450"/>
        <v>1.0449339496490144E-2</v>
      </c>
      <c r="J449" s="1">
        <f t="shared" si="450"/>
        <v>1.6133925103028961E-4</v>
      </c>
      <c r="K449" s="1">
        <f t="shared" si="450"/>
        <v>2.557339080762661E-4</v>
      </c>
      <c r="L449" s="1">
        <f t="shared" si="450"/>
        <v>1.1316803981372618E-5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0.21574287415336313</v>
      </c>
      <c r="G450" s="1">
        <f>'[1]Electricity and CHPs_IN'!C$93</f>
        <v>0.2150865055357141</v>
      </c>
      <c r="H450" s="1">
        <f>'[1]Electricity and CHPs_IN'!D$93</f>
        <v>8.4084578973484207E-3</v>
      </c>
      <c r="I450" s="1">
        <f>'[1]Electricity and CHPs_IN'!E$93</f>
        <v>1.0449339496490144E-2</v>
      </c>
      <c r="J450" s="1">
        <f>'[2]Electricity and CHPs_IN'!F$93</f>
        <v>1.6133925103028961E-4</v>
      </c>
      <c r="K450" s="1">
        <f>'[2]Electricity and CHPs_IN'!G$93</f>
        <v>2.557339080762661E-4</v>
      </c>
      <c r="L450" s="1">
        <f>'[2]Electricity and CHPs_IN'!H$93</f>
        <v>1.1316803981372618E-5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0.21574287415336313</v>
      </c>
      <c r="G451" s="1">
        <f t="shared" ref="G451:L451" si="451">G452</f>
        <v>0.2150865055357141</v>
      </c>
      <c r="H451" s="1">
        <f t="shared" si="451"/>
        <v>8.4084578973484207E-3</v>
      </c>
      <c r="I451" s="1">
        <f t="shared" si="451"/>
        <v>1.0449339496490144E-2</v>
      </c>
      <c r="J451" s="1">
        <f t="shared" si="451"/>
        <v>1.6133925103028961E-4</v>
      </c>
      <c r="K451" s="1">
        <f t="shared" si="451"/>
        <v>2.557339080762661E-4</v>
      </c>
      <c r="L451" s="1">
        <f t="shared" si="451"/>
        <v>1.1316803981372618E-5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0.21574287415336313</v>
      </c>
      <c r="G452" s="1">
        <f t="shared" ref="G452:K452" si="452">G450</f>
        <v>0.2150865055357141</v>
      </c>
      <c r="H452" s="1">
        <f t="shared" si="452"/>
        <v>8.4084578973484207E-3</v>
      </c>
      <c r="I452" s="1">
        <f t="shared" si="452"/>
        <v>1.0449339496490144E-2</v>
      </c>
      <c r="J452" s="1">
        <f t="shared" si="452"/>
        <v>1.6133925103028961E-4</v>
      </c>
      <c r="K452" s="1">
        <f t="shared" si="452"/>
        <v>2.557339080762661E-4</v>
      </c>
      <c r="L452" s="1">
        <f t="shared" ref="L452" si="453">L450</f>
        <v>1.1316803981372618E-5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3.5025082582800544</v>
      </c>
      <c r="G455" s="1">
        <f t="shared" ref="G455:L455" si="455">G456</f>
        <v>3.1609569733618343</v>
      </c>
      <c r="H455" s="1">
        <f t="shared" si="455"/>
        <v>2.7101551627400027</v>
      </c>
      <c r="I455" s="1">
        <f t="shared" si="455"/>
        <v>2.4480408027098997</v>
      </c>
      <c r="J455" s="1">
        <f t="shared" si="455"/>
        <v>2.2631815836055513</v>
      </c>
      <c r="K455" s="1">
        <f t="shared" si="455"/>
        <v>1.7512697861290045</v>
      </c>
      <c r="L455" s="1">
        <f t="shared" si="455"/>
        <v>2.2878721048304835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3.5025082582800544</v>
      </c>
      <c r="G456" s="1">
        <f>'[1]Electricity and CHPs_IN'!C$94</f>
        <v>3.1609569733618343</v>
      </c>
      <c r="H456" s="1">
        <f>'[1]Electricity and CHPs_IN'!D$94</f>
        <v>2.7101551627400027</v>
      </c>
      <c r="I456" s="1">
        <f>'[1]Electricity and CHPs_IN'!E$94</f>
        <v>2.4480408027098997</v>
      </c>
      <c r="J456" s="1">
        <f>'[2]Electricity and CHPs_IN'!F$94</f>
        <v>2.2631815836055513</v>
      </c>
      <c r="K456" s="1">
        <f>'[2]Electricity and CHPs_IN'!G$94</f>
        <v>1.7512697861290045</v>
      </c>
      <c r="L456" s="1">
        <f>'[2]Electricity and CHPs_IN'!H$94</f>
        <v>2.2878721048304835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2.5596435667802012E-3</v>
      </c>
      <c r="J457" s="1">
        <f t="shared" si="456"/>
        <v>2.484238134690598E-4</v>
      </c>
      <c r="K457" s="1">
        <f t="shared" si="456"/>
        <v>2.485736414173656E-4</v>
      </c>
      <c r="L457" s="1">
        <f t="shared" si="456"/>
        <v>2.5197904914266188E-4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2.5596435667802012E-3</v>
      </c>
      <c r="J458" s="1">
        <f>'[2]Electricity and CHPs_IN'!F$95</f>
        <v>2.484238134690598E-4</v>
      </c>
      <c r="K458" s="1">
        <f>'[2]Electricity and CHPs_IN'!G$95</f>
        <v>2.485736414173656E-4</v>
      </c>
      <c r="L458" s="1">
        <f>'[2]Electricity and CHPs_IN'!H$95</f>
        <v>2.5197904914266188E-4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4.3952073030523398E-4</v>
      </c>
      <c r="L459" s="1">
        <f t="shared" si="457"/>
        <v>4.4408533459802945E-4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4.3952073030523398E-4</v>
      </c>
      <c r="L460" s="1">
        <f>'[2]Electricity and CHPs_IN'!H$96</f>
        <v>4.4408533459802945E-4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1.3799508160764142</v>
      </c>
      <c r="H461" s="1">
        <f>H462</f>
        <v>1.4217751870980675</v>
      </c>
      <c r="I461" s="1">
        <f t="shared" ref="I461" si="459">I462</f>
        <v>3.8398111208829926</v>
      </c>
      <c r="J461" s="1">
        <f t="shared" ref="J461" si="460">J462</f>
        <v>4.0657737632973854</v>
      </c>
      <c r="K461" s="1">
        <f t="shared" ref="K461:L461" si="461">K462</f>
        <v>4.2731743603698114</v>
      </c>
      <c r="L461" s="1">
        <f t="shared" si="461"/>
        <v>4.7202429709852112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1.3799508160764142</v>
      </c>
      <c r="H462" s="1">
        <f>'[1]Electricity and CHPs_IN'!D$97</f>
        <v>1.4217751870980675</v>
      </c>
      <c r="I462" s="1">
        <f>'[1]Electricity and CHPs_IN'!E$97</f>
        <v>3.8398111208829926</v>
      </c>
      <c r="J462" s="1">
        <f>'[2]Electricity and CHPs_IN'!F$97</f>
        <v>4.0657737632973854</v>
      </c>
      <c r="K462" s="1">
        <f>'[2]Electricity and CHPs_IN'!G$97</f>
        <v>4.2731743603698114</v>
      </c>
      <c r="L462" s="1">
        <f>'[2]Electricity and CHPs_IN'!H$97</f>
        <v>4.7202429709852112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8.7501038314452355</v>
      </c>
      <c r="G463" s="1">
        <f t="shared" ref="G463:K463" si="462">SUM(G464,G470,G503,G512,G518)</f>
        <v>8.6583016900134453</v>
      </c>
      <c r="H463" s="1">
        <f t="shared" si="462"/>
        <v>7.7506563100429826</v>
      </c>
      <c r="I463" s="1">
        <f>IFERROR(SUM(I464,I470,I503,I512,I518),0)</f>
        <v>7.6281170930528219</v>
      </c>
      <c r="J463" s="1">
        <f t="shared" si="462"/>
        <v>9.5592250936727652</v>
      </c>
      <c r="K463" s="1">
        <f t="shared" si="462"/>
        <v>12.36937142890452</v>
      </c>
      <c r="L463" s="1">
        <f>IFERROR(SUM(L464,L470,L503,L512,L518),0)</f>
        <v>16.309790999330517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0.37102107788033173</v>
      </c>
      <c r="G464" s="1">
        <f t="shared" ref="G464:L464" si="463">+G465</f>
        <v>0.62686581817800535</v>
      </c>
      <c r="H464" s="1">
        <f t="shared" si="463"/>
        <v>0.46937527626262127</v>
      </c>
      <c r="I464" s="1">
        <f t="shared" si="463"/>
        <v>0.54443169034770333</v>
      </c>
      <c r="J464" s="1">
        <f t="shared" si="463"/>
        <v>0.52846496398695231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0.37102107788033173</v>
      </c>
      <c r="G465" s="1">
        <f>'[1]Electricity and CHPs_IN'!C$41-G301</f>
        <v>0.62686581817800535</v>
      </c>
      <c r="H465" s="1">
        <f>'[1]Electricity and CHPs_IN'!D$41-H301</f>
        <v>0.46937527626262127</v>
      </c>
      <c r="I465" s="1">
        <f>'[1]Electricity and CHPs_IN'!E$41-I301</f>
        <v>0.54443169034770333</v>
      </c>
      <c r="J465" s="1">
        <f>'[2]Electricity and CHPs_IN'!F$41-J301</f>
        <v>0.52846496398695231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0.37102107788033173</v>
      </c>
      <c r="G466" s="1">
        <f t="shared" ref="G466:L466" si="464">G467</f>
        <v>0.62686581817800535</v>
      </c>
      <c r="H466" s="1">
        <f t="shared" si="464"/>
        <v>0.46937527626262127</v>
      </c>
      <c r="I466" s="1">
        <f t="shared" si="464"/>
        <v>0.54443169034770333</v>
      </c>
      <c r="J466" s="1">
        <f t="shared" si="464"/>
        <v>0.52846496398695231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0.37102107788033173</v>
      </c>
      <c r="G467" s="1">
        <f t="shared" ref="G467:K467" si="465">G465-G469</f>
        <v>0.62686581817800535</v>
      </c>
      <c r="H467" s="1">
        <f t="shared" si="465"/>
        <v>0.46937527626262127</v>
      </c>
      <c r="I467" s="1">
        <f t="shared" si="465"/>
        <v>0.54443169034770333</v>
      </c>
      <c r="J467" s="1">
        <f t="shared" si="465"/>
        <v>0.52846496398695231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4.3696513942219726</v>
      </c>
      <c r="G470" s="1">
        <f t="shared" ref="G470:K470" si="470">SUM(G471:G480)</f>
        <v>3.147159386518898</v>
      </c>
      <c r="H470" s="1">
        <f t="shared" si="470"/>
        <v>3.597387055767558</v>
      </c>
      <c r="I470" s="1">
        <f>IFERROR(SUM(I471:I480),0)</f>
        <v>1.7356014705980407</v>
      </c>
      <c r="J470" s="1">
        <f t="shared" si="470"/>
        <v>2.7675588490184535</v>
      </c>
      <c r="K470" s="1">
        <f t="shared" si="470"/>
        <v>1.7567408550082149</v>
      </c>
      <c r="L470" s="1">
        <f>IFERROR(SUM(L471:L480),0)</f>
        <v>3.4673035740860074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1.2075054931053009</v>
      </c>
      <c r="G471" s="1">
        <f>'[1]Electricity and CHPs_IN'!C$39-G316</f>
        <v>0.32851490139051048</v>
      </c>
      <c r="H471" s="1">
        <f>'[1]Electricity and CHPs_IN'!D$39-H316</f>
        <v>0.71858079347318404</v>
      </c>
      <c r="I471" s="1">
        <f>'[1]Electricity and CHPs_IN'!E$39-I316</f>
        <v>7.8932966029672105E-2</v>
      </c>
      <c r="J471" s="1">
        <f>'[2]Electricity and CHPs_IN'!F$39-J316</f>
        <v>1.1477591895110706</v>
      </c>
      <c r="K471" s="1">
        <f>'[2]Electricity and CHPs_IN'!G$39-K316</f>
        <v>0.25360520199222314</v>
      </c>
      <c r="L471" s="1">
        <f>'[2]Electricity and CHPs_IN'!H$39-L316</f>
        <v>1.4757939850191124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8.1009301089685903E-2</v>
      </c>
      <c r="L472" s="6">
        <f>'[2]Electricity and CHPs_IN'!H$40-L317</f>
        <v>0.6236167266106698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0.26116125676959223</v>
      </c>
      <c r="G474" s="1">
        <f>'[1]Electricity and CHPs_IN'!C$48-G319</f>
        <v>3.3811016888200179E-2</v>
      </c>
      <c r="H474" s="1">
        <f>'[1]Electricity and CHPs_IN'!D$48-H319</f>
        <v>0.11254284026817446</v>
      </c>
      <c r="I474" s="1">
        <f>IFERROR('[1]Electricity and CHPs_IN'!E$48-I319,0)</f>
        <v>0</v>
      </c>
      <c r="J474" s="1">
        <f>'[2]Electricity and CHPs_IN'!F$48-J319</f>
        <v>1.9723257683872439E-2</v>
      </c>
      <c r="K474" s="1">
        <f>'[2]Electricity and CHPs_IN'!G$48-K319</f>
        <v>5.5198836672542091E-3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0.28022914029434492</v>
      </c>
      <c r="G476" s="1">
        <f>'[1]Electricity and CHPs_IN'!C$51-G321</f>
        <v>4.1566082323902472E-2</v>
      </c>
      <c r="H476" s="1">
        <f>'[1]Electricity and CHPs_IN'!D$51-H321</f>
        <v>0.15549962894720526</v>
      </c>
      <c r="I476" s="1">
        <f>'[1]Electricity and CHPs_IN'!E$51-I321</f>
        <v>0</v>
      </c>
      <c r="J476" s="1">
        <f>'[2]Electricity and CHPs_IN'!F$51-J321</f>
        <v>4.9937023655728385E-2</v>
      </c>
      <c r="K476" s="1">
        <f>'[2]Electricity and CHPs_IN'!G$51-K321</f>
        <v>9.0970534997672787E-3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1.5807723999109324</v>
      </c>
      <c r="G478" s="1">
        <f>'[1]Electricity and CHPs_IN'!C$54-G323</f>
        <v>1.7934591024770443</v>
      </c>
      <c r="H478" s="1">
        <f>'[1]Electricity and CHPs_IN'!D$54-H323</f>
        <v>1.7535855378340783</v>
      </c>
      <c r="I478" s="1">
        <f>'[1]Electricity and CHPs_IN'!E$54-I323</f>
        <v>1.6566685045683687</v>
      </c>
      <c r="J478" s="1">
        <f>'[2]Electricity and CHPs_IN'!F$54-J323</f>
        <v>1.5362136931097481</v>
      </c>
      <c r="K478" s="1">
        <f>'[2]Electricity and CHPs_IN'!G$54-K323</f>
        <v>1.4050743605366591</v>
      </c>
      <c r="L478" s="1">
        <f>'[2]Electricity and CHPs_IN'!H$54-L323</f>
        <v>1.367892862456225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1.0399831041418022</v>
      </c>
      <c r="G479" s="1">
        <f>'[1]Electricity and CHPs_IN'!C$55-G324</f>
        <v>0.94980828343924062</v>
      </c>
      <c r="H479" s="1">
        <f>'[1]Electricity and CHPs_IN'!D$55-H324</f>
        <v>0.85717825524491587</v>
      </c>
      <c r="I479" s="1">
        <f>'[1]Electricity and CHPs_IN'!E$55-I324</f>
        <v>0</v>
      </c>
      <c r="J479" s="1">
        <f>'[2]Electricity and CHPs_IN'!F$55-J324</f>
        <v>1.3925685058034275E-2</v>
      </c>
      <c r="K479" s="1">
        <f>'[2]Electricity and CHPs_IN'!G$55-K324</f>
        <v>2.4350542226252861E-3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2.7184980960732079</v>
      </c>
      <c r="G481" s="1">
        <f t="shared" ref="G481:K481" si="471">SUM(G482:G491)</f>
        <v>1.3069296641384258</v>
      </c>
      <c r="H481" s="1">
        <f t="shared" si="471"/>
        <v>1.7442032605953506</v>
      </c>
      <c r="I481" s="1">
        <f>IFERROR(SUM(I482:I491),0)</f>
        <v>7.0838228898717007E-2</v>
      </c>
      <c r="J481" s="1">
        <f t="shared" si="471"/>
        <v>1.0114426718792051</v>
      </c>
      <c r="K481" s="1">
        <f t="shared" si="471"/>
        <v>0.20904608287184204</v>
      </c>
      <c r="L481" s="1">
        <f>IFERROR(SUM(L482:L491),0)</f>
        <v>0.79788445904566485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1.1770325606456185</v>
      </c>
      <c r="G482" s="1">
        <f t="shared" ref="G482:K482" si="473">G471-G493</f>
        <v>0.31716464478890022</v>
      </c>
      <c r="H482" s="1">
        <f t="shared" si="473"/>
        <v>0.67976457920582967</v>
      </c>
      <c r="I482" s="1">
        <f t="shared" si="473"/>
        <v>7.0838228898717007E-2</v>
      </c>
      <c r="J482" s="1">
        <f t="shared" si="473"/>
        <v>0.94278408920711998</v>
      </c>
      <c r="K482" s="1">
        <f t="shared" si="473"/>
        <v>0.1507541233123777</v>
      </c>
      <c r="L482" s="1">
        <f t="shared" ref="L482" si="474">L471-L493</f>
        <v>0.56087790677495009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4.8155503396568898E-2</v>
      </c>
      <c r="L483" s="1">
        <f t="shared" ref="L483" si="476">L472-L494</f>
        <v>0.23700655227071482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0.25457052125404661</v>
      </c>
      <c r="G485" s="1">
        <f t="shared" ref="G485:K485" si="479">G474-G496</f>
        <v>3.2642839383867542E-2</v>
      </c>
      <c r="H485" s="1">
        <f t="shared" si="479"/>
        <v>0.10646351412728017</v>
      </c>
      <c r="I485" s="1">
        <f>IFERROR(I474-I496,0)</f>
        <v>0</v>
      </c>
      <c r="J485" s="1">
        <f t="shared" si="479"/>
        <v>1.6200936312788853E-2</v>
      </c>
      <c r="K485" s="1">
        <f t="shared" si="479"/>
        <v>3.2812624366780094E-3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0.27315720255643533</v>
      </c>
      <c r="G487" s="1">
        <f t="shared" ref="G487:K487" si="482">G476-G498</f>
        <v>4.012996573283456E-2</v>
      </c>
      <c r="H487" s="1">
        <f t="shared" si="482"/>
        <v>0.14709986795925165</v>
      </c>
      <c r="I487" s="1">
        <f t="shared" si="482"/>
        <v>0</v>
      </c>
      <c r="J487" s="1">
        <f t="shared" si="482"/>
        <v>4.101891040840687E-2</v>
      </c>
      <c r="K487" s="1">
        <f t="shared" si="482"/>
        <v>5.4076900407006171E-3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1.0137378116171076</v>
      </c>
      <c r="G490" s="1">
        <f t="shared" ref="G490:K490" si="486">G479-G501</f>
        <v>0.91699221423282351</v>
      </c>
      <c r="H490" s="1">
        <f t="shared" si="486"/>
        <v>0.81087529930298907</v>
      </c>
      <c r="I490" s="1">
        <f t="shared" si="486"/>
        <v>0</v>
      </c>
      <c r="J490" s="1">
        <f t="shared" si="486"/>
        <v>1.143873595088947E-2</v>
      </c>
      <c r="K490" s="1">
        <f t="shared" si="486"/>
        <v>1.4475036855168114E-3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1.6511532981487647</v>
      </c>
      <c r="G492" s="1">
        <f t="shared" ref="G492:K492" si="490">SUM(G493:G502)</f>
        <v>1.8402297223804722</v>
      </c>
      <c r="H492" s="1">
        <f t="shared" si="490"/>
        <v>1.8531837951722074</v>
      </c>
      <c r="I492" s="1">
        <f>IFERROR(SUM(I493:I502),0)</f>
        <v>1.6647632416993237</v>
      </c>
      <c r="J492" s="1">
        <f t="shared" si="490"/>
        <v>1.7561161771392486</v>
      </c>
      <c r="K492" s="1">
        <f t="shared" si="490"/>
        <v>1.5476947721363727</v>
      </c>
      <c r="L492" s="1">
        <f>IFERROR(SUM(L493:L502),0)</f>
        <v>2.6694191150403421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3.0472932459682387E-2</v>
      </c>
      <c r="G493" s="1">
        <f t="shared" ref="G493:K493" si="492">IFERROR(G348/G316,0)*G471</f>
        <v>1.1350256601610242E-2</v>
      </c>
      <c r="H493" s="1">
        <f t="shared" si="492"/>
        <v>3.8816214267354328E-2</v>
      </c>
      <c r="I493" s="1">
        <f t="shared" si="492"/>
        <v>8.0947371309550934E-3</v>
      </c>
      <c r="J493" s="1">
        <f t="shared" si="492"/>
        <v>0.20497510030395061</v>
      </c>
      <c r="K493" s="1">
        <f t="shared" si="492"/>
        <v>0.10285107867984544</v>
      </c>
      <c r="L493" s="1">
        <f t="shared" ref="L493" si="493">IFERROR(L348/L316,0)*L471</f>
        <v>0.91491607824416232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3.2853797693117005E-2</v>
      </c>
      <c r="L494" s="1">
        <f t="shared" ref="L494" si="495">IFERROR(L349/L317,0)*L472</f>
        <v>0.38661017433995498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6.590735515545643E-3</v>
      </c>
      <c r="G496" s="1">
        <f t="shared" ref="G496:K496" si="498">IFERROR(G351/G319,0)*G474</f>
        <v>1.1681775043326397E-3</v>
      </c>
      <c r="H496" s="1">
        <f t="shared" si="498"/>
        <v>6.079326140894287E-3</v>
      </c>
      <c r="I496" s="1">
        <f>IFERROR(IFERROR(I351/I319,0)*I474,0)</f>
        <v>0</v>
      </c>
      <c r="J496" s="1">
        <f t="shared" si="498"/>
        <v>3.522321371083585E-3</v>
      </c>
      <c r="K496" s="1">
        <f t="shared" si="498"/>
        <v>2.2386212305761997E-3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7.0719377379095845E-3</v>
      </c>
      <c r="G498" s="1">
        <f t="shared" ref="G498:K498" si="501">IFERROR(G353/G321,0)*G476</f>
        <v>1.4361165910679091E-3</v>
      </c>
      <c r="H498" s="1">
        <f t="shared" si="501"/>
        <v>8.3997609879536261E-3</v>
      </c>
      <c r="I498" s="1">
        <f t="shared" si="501"/>
        <v>0</v>
      </c>
      <c r="J498" s="1">
        <f t="shared" si="501"/>
        <v>8.918113247321514E-3</v>
      </c>
      <c r="K498" s="1">
        <f t="shared" si="501"/>
        <v>3.6893634590666616E-3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1.5807723999109324</v>
      </c>
      <c r="G500" s="1">
        <f t="shared" ref="G500:K500" si="505">G478</f>
        <v>1.7934591024770443</v>
      </c>
      <c r="H500" s="1">
        <f t="shared" si="505"/>
        <v>1.7535855378340783</v>
      </c>
      <c r="I500" s="1">
        <f t="shared" si="505"/>
        <v>1.6566685045683687</v>
      </c>
      <c r="J500" s="1">
        <f t="shared" si="505"/>
        <v>1.5362136931097481</v>
      </c>
      <c r="K500" s="1">
        <f t="shared" si="505"/>
        <v>1.4050743605366591</v>
      </c>
      <c r="L500" s="1">
        <f t="shared" ref="L500" si="506">L478</f>
        <v>1.367892862456225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2.6245292524694538E-2</v>
      </c>
      <c r="G501" s="1">
        <f t="shared" ref="G501:K501" si="507">IFERROR(G356/G324,0)*G479</f>
        <v>3.2816069206417137E-2</v>
      </c>
      <c r="H501" s="1">
        <f t="shared" si="507"/>
        <v>4.6302955941926849E-2</v>
      </c>
      <c r="I501" s="1">
        <f t="shared" si="507"/>
        <v>0</v>
      </c>
      <c r="J501" s="1">
        <f t="shared" si="507"/>
        <v>2.4869491071448056E-3</v>
      </c>
      <c r="K501" s="1">
        <f t="shared" si="507"/>
        <v>9.8755053710847468E-4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3.3176092199257718</v>
      </c>
      <c r="G503" s="1">
        <f t="shared" ref="G503:K503" si="511">SUM(G504:G505)</f>
        <v>3.497006891596504</v>
      </c>
      <c r="H503" s="1">
        <f t="shared" si="511"/>
        <v>0.18138551098709124</v>
      </c>
      <c r="I503" s="1">
        <f t="shared" si="511"/>
        <v>0.20329734549495068</v>
      </c>
      <c r="J503" s="1">
        <f t="shared" si="511"/>
        <v>3.1800450046898805E-2</v>
      </c>
      <c r="K503" s="1">
        <f t="shared" si="511"/>
        <v>3.1579472324155611</v>
      </c>
      <c r="L503" s="1">
        <f t="shared" ref="L503" si="512">SUM(L504:L505)</f>
        <v>5.2307488150321948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3.3176092199257718</v>
      </c>
      <c r="G504" s="6">
        <f>'[1]Electricity and CHPs_IN'!C$44-G363</f>
        <v>3.497006891596504</v>
      </c>
      <c r="H504" s="6">
        <f>'[1]Electricity and CHPs_IN'!D$44-H363</f>
        <v>0.18138551098709124</v>
      </c>
      <c r="I504" s="6">
        <f>'[1]Electricity and CHPs_IN'!E$44-I363</f>
        <v>0.20329734549495068</v>
      </c>
      <c r="J504" s="6">
        <f>'[2]Electricity and CHPs_IN'!F$44-J363</f>
        <v>3.1800450046898805E-2</v>
      </c>
      <c r="K504" s="6">
        <f>'[2]Electricity and CHPs_IN'!G$44-K363</f>
        <v>1.5348805922826532E-2</v>
      </c>
      <c r="L504" s="6">
        <f>'[2]Electricity and CHPs_IN'!H$44-L363</f>
        <v>2.6784975267982822E-3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3.1425984264927345</v>
      </c>
      <c r="L505" s="1">
        <f>'[2]Electricity and CHPs_IN'!H$45</f>
        <v>5.2280703175053969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3.3176092199257718</v>
      </c>
      <c r="G509" s="1">
        <f t="shared" ref="G509:K509" si="515">SUM(G510:G511)</f>
        <v>3.497006891596504</v>
      </c>
      <c r="H509" s="1">
        <f t="shared" si="515"/>
        <v>0.18138551098709124</v>
      </c>
      <c r="I509" s="1">
        <f t="shared" si="515"/>
        <v>0.20329734549495068</v>
      </c>
      <c r="J509" s="1">
        <f t="shared" si="515"/>
        <v>3.1800450046898805E-2</v>
      </c>
      <c r="K509" s="1">
        <f t="shared" si="515"/>
        <v>3.1579472324155611</v>
      </c>
      <c r="L509" s="1">
        <f t="shared" ref="L509" si="516">SUM(L510:L511)</f>
        <v>5.2307488150321948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3.3176092199257718</v>
      </c>
      <c r="G510" s="1">
        <f t="shared" ref="G510:K510" si="517">G504</f>
        <v>3.497006891596504</v>
      </c>
      <c r="H510" s="1">
        <f t="shared" si="517"/>
        <v>0.18138551098709124</v>
      </c>
      <c r="I510" s="1">
        <f t="shared" si="517"/>
        <v>0.20329734549495068</v>
      </c>
      <c r="J510" s="1">
        <f t="shared" si="517"/>
        <v>3.1800450046898805E-2</v>
      </c>
      <c r="K510" s="1">
        <f t="shared" si="517"/>
        <v>1.5348805922826532E-2</v>
      </c>
      <c r="L510" s="1">
        <f t="shared" ref="L510" si="518">L504</f>
        <v>2.6784975267982822E-3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3.1425984264927345</v>
      </c>
      <c r="L511" s="1">
        <f t="shared" ref="L511" si="520">L505</f>
        <v>5.2280703175053969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0.6918221394171602</v>
      </c>
      <c r="G512" s="1">
        <f t="shared" ref="G512:K512" si="521">SUM(G513:G517)</f>
        <v>1.3872695937200379</v>
      </c>
      <c r="H512" s="1">
        <f t="shared" si="521"/>
        <v>3.5025084670257121</v>
      </c>
      <c r="I512" s="1">
        <f t="shared" si="521"/>
        <v>5.1072401310706548</v>
      </c>
      <c r="J512" s="1">
        <f t="shared" si="521"/>
        <v>6.218249804489087</v>
      </c>
      <c r="K512" s="1">
        <f t="shared" si="521"/>
        <v>7.323344928329246</v>
      </c>
      <c r="L512" s="1">
        <f t="shared" ref="L512" si="522">SUM(L513:L517)</f>
        <v>7.5101809660009273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0.6918221394171602</v>
      </c>
      <c r="G513" s="6">
        <f>'[1]Electricity and CHPs_IN'!C$42-G382</f>
        <v>1.3872695937200379</v>
      </c>
      <c r="H513" s="6">
        <f>'[1]Electricity and CHPs_IN'!D$42-H382</f>
        <v>3.5025084670257121</v>
      </c>
      <c r="I513" s="6">
        <f>'[1]Electricity and CHPs_IN'!E$42-I382</f>
        <v>5.1072401310706548</v>
      </c>
      <c r="J513" s="6">
        <f>'[2]Electricity and CHPs_IN'!F$42-J382</f>
        <v>5.4261743534924545</v>
      </c>
      <c r="K513" s="6">
        <f>'[2]Electricity and CHPs_IN'!G$42-K382</f>
        <v>5.1562482608907274</v>
      </c>
      <c r="L513" s="6">
        <f>'[2]Electricity and CHPs_IN'!H$42-L382</f>
        <v>4.6589210105843328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0.62320325345375216</v>
      </c>
      <c r="L514" s="1">
        <f>'[2]Electricity and CHPs_IN'!H$43-L383</f>
        <v>2.6000377959159122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2.0105365343644904E-2</v>
      </c>
      <c r="K515" s="1">
        <f>'[2]Electricity and CHPs_IN'!G$50-K384</f>
        <v>1.8495577564728791E-2</v>
      </c>
      <c r="L515" s="1">
        <f>'[2]Electricity and CHPs_IN'!H$50-L384</f>
        <v>7.0067312504976326E-3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0.7655934394102315</v>
      </c>
      <c r="K516" s="1">
        <f>'[2]Electricity and CHPs_IN'!G$53-K385</f>
        <v>1.5217779530965445</v>
      </c>
      <c r="L516" s="1">
        <f>'[2]Electricity and CHPs_IN'!H$53-L385</f>
        <v>0.24275963931166678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6.3766462427553901E-3</v>
      </c>
      <c r="K517" s="1">
        <f>'[2]Electricity and CHPs_IN'!G$56-K386</f>
        <v>3.6198833234924962E-3</v>
      </c>
      <c r="L517" s="1">
        <f>'[2]Electricity and CHPs_IN'!H$56-L386</f>
        <v>1.4557889385168727E-3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3.7546455541471714E-2</v>
      </c>
      <c r="J518" s="1">
        <f t="shared" si="523"/>
        <v>1.3151026131373776E-2</v>
      </c>
      <c r="K518" s="1">
        <f t="shared" si="523"/>
        <v>0.13133841315149911</v>
      </c>
      <c r="L518" s="1">
        <f t="shared" ref="L518" si="524">SUM(L519:L520)</f>
        <v>0.10155764421138663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8.3844073473940909E-3</v>
      </c>
      <c r="K519" s="1">
        <f>'[2]Electricity and CHPs_IN'!G$46-K399</f>
        <v>0.12373455819370183</v>
      </c>
      <c r="L519" s="1">
        <f>'[2]Electricity and CHPs_IN'!H$46-L399</f>
        <v>9.4056544543885401E-2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3.7546455541471714E-2</v>
      </c>
      <c r="J520" s="1">
        <f>'[2]Electricity and CHPs_IN'!F$57-J400</f>
        <v>4.7666187839796852E-3</v>
      </c>
      <c r="K520" s="1">
        <f>'[2]Electricity and CHPs_IN'!G$57-K400</f>
        <v>7.6038549577972757E-3</v>
      </c>
      <c r="L520" s="1">
        <f>'[2]Electricity and CHPs_IN'!H$57-L400</f>
        <v>7.5010996675012286E-3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0.32978875891514586</v>
      </c>
      <c r="G522" s="13">
        <f t="shared" si="525"/>
        <v>0.32672878417957257</v>
      </c>
      <c r="H522" s="13">
        <f t="shared" si="525"/>
        <v>0.32635576690273183</v>
      </c>
      <c r="I522" s="13">
        <f t="shared" si="525"/>
        <v>0.33003755662641721</v>
      </c>
      <c r="J522" s="13">
        <f t="shared" si="525"/>
        <v>0.33042010204508404</v>
      </c>
      <c r="K522" s="13">
        <f t="shared" si="525"/>
        <v>0.33170584005147641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0.79999942001599877</v>
      </c>
      <c r="G525" s="13">
        <f t="shared" si="527"/>
        <v>0.7999974306023836</v>
      </c>
      <c r="H525" s="13">
        <f t="shared" si="527"/>
        <v>0.79999152408428575</v>
      </c>
      <c r="I525" s="13">
        <f t="shared" si="527"/>
        <v>0.8000003896719029</v>
      </c>
      <c r="J525" s="13">
        <f t="shared" si="527"/>
        <v>0.80000030120951049</v>
      </c>
      <c r="K525" s="13">
        <f t="shared" si="527"/>
        <v>0.80000022916438507</v>
      </c>
      <c r="L525" s="13">
        <f t="shared" ref="L525" si="530">IFERROR(L69/L297,"-")</f>
        <v>0.80000022355655287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0.16705775538994125</v>
      </c>
      <c r="G526" s="13">
        <f t="shared" ref="G526:K526" si="531">IFERROR(G71/G299,"-")</f>
        <v>8.7742467967153442E-3</v>
      </c>
      <c r="H526" s="13">
        <f t="shared" si="531"/>
        <v>0.27739743823984586</v>
      </c>
      <c r="I526" s="13">
        <f t="shared" si="531"/>
        <v>0.28838557884329136</v>
      </c>
      <c r="J526" s="13">
        <f t="shared" si="531"/>
        <v>0.29444047816791863</v>
      </c>
      <c r="K526" s="13">
        <f t="shared" si="531"/>
        <v>0.31372773091490191</v>
      </c>
      <c r="L526" s="13">
        <f t="shared" ref="L526" si="532">IFERROR(L71/L299,"-")</f>
        <v>0.29958955051588548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1.3482147704995425E-2</v>
      </c>
      <c r="G527" s="13">
        <f t="shared" ref="G527:K527" si="533">IFERROR(G72/(G300+G413),"-")</f>
        <v>7.8100868692439892E-3</v>
      </c>
      <c r="H527" s="13">
        <f t="shared" si="533"/>
        <v>8.640631745857566E-2</v>
      </c>
      <c r="I527" s="13">
        <f t="shared" si="533"/>
        <v>9.7023022812451912E-2</v>
      </c>
      <c r="J527" s="13">
        <f t="shared" si="533"/>
        <v>9.6223089301287687E-2</v>
      </c>
      <c r="K527" s="13">
        <f t="shared" si="533"/>
        <v>0.10296917923555807</v>
      </c>
      <c r="L527" s="13">
        <f t="shared" ref="L527" si="534">IFERROR(L72/(L300+L413),"-")</f>
        <v>9.4039988381333553E-2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0.17675258022566595</v>
      </c>
      <c r="G528" s="13">
        <f t="shared" ref="G528:K528" si="535">IFERROR(G73/(G301+G465),"-")</f>
        <v>0.24540541429827398</v>
      </c>
      <c r="H528" s="13">
        <f t="shared" si="535"/>
        <v>0.24403020467547498</v>
      </c>
      <c r="I528" s="13">
        <f t="shared" si="535"/>
        <v>0.26224466066523744</v>
      </c>
      <c r="J528" s="13">
        <f t="shared" si="535"/>
        <v>0.26281810849899284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0.48610851174623199</v>
      </c>
      <c r="L529" s="13">
        <f t="shared" ref="L529" si="538">IFERROR(L83/L311,"-")</f>
        <v>0.57994201720881577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0.31946282058162828</v>
      </c>
      <c r="L530" s="13">
        <f t="shared" ref="L530" si="540">IFERROR(L84/L312,"-")</f>
        <v>0.41097680517594737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0.24087110133125075</v>
      </c>
      <c r="G532" s="13">
        <f t="shared" ref="G532:K532" si="543">IFERROR(G86/SUM(G314,G419),"-")</f>
        <v>0.23085303090331533</v>
      </c>
      <c r="H532" s="13">
        <f t="shared" si="543"/>
        <v>0.22947679017977402</v>
      </c>
      <c r="I532" s="13" t="str">
        <f t="shared" si="543"/>
        <v>-</v>
      </c>
      <c r="J532" s="13" t="str">
        <f t="shared" si="543"/>
        <v>-</v>
      </c>
      <c r="K532" s="13">
        <f t="shared" si="543"/>
        <v>0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0.31898083084519085</v>
      </c>
      <c r="G534" s="13">
        <f t="shared" ref="G534:K534" si="547">IFERROR(G88/SUM(G316,G471),"-'")</f>
        <v>0.3508103510636385</v>
      </c>
      <c r="H534" s="13">
        <f t="shared" si="547"/>
        <v>0.35106306829244405</v>
      </c>
      <c r="I534" s="13">
        <f t="shared" si="547"/>
        <v>0.35004093672242842</v>
      </c>
      <c r="J534" s="13">
        <f t="shared" si="547"/>
        <v>0.35981299375084635</v>
      </c>
      <c r="K534" s="13">
        <f t="shared" si="547"/>
        <v>0.24325484105001924</v>
      </c>
      <c r="L534" s="13">
        <f t="shared" ref="L534" si="548">IFERROR(L88/SUM(L316,L471),"-'")</f>
        <v>0.15085016044941613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0.31837367456687077</v>
      </c>
      <c r="L535" s="13">
        <f t="shared" ref="L535" si="551">IFERROR(L89/SUM(L317,L472),"-")</f>
        <v>0.20643146607366747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0.10727984592427926</v>
      </c>
      <c r="G537" s="13">
        <f t="shared" ref="G537:K537" si="554">IFERROR(G91/SUM(G319,G474),"-")</f>
        <v>0.250226726611256</v>
      </c>
      <c r="H537" s="13">
        <f t="shared" si="554"/>
        <v>0.10993897311523634</v>
      </c>
      <c r="I537" s="13" t="str">
        <f t="shared" si="554"/>
        <v>-</v>
      </c>
      <c r="J537" s="13">
        <f t="shared" si="554"/>
        <v>0.22728068106210844</v>
      </c>
      <c r="K537" s="13">
        <f t="shared" si="554"/>
        <v>0.26431548774279723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0.12870226583328442</v>
      </c>
      <c r="G539" s="13">
        <f t="shared" ref="G539:K539" si="558">IFERROR(G93/SUM(G321,G476),"-")</f>
        <v>0.27018975993813821</v>
      </c>
      <c r="H539" s="13">
        <f t="shared" si="558"/>
        <v>0.16926797045085262</v>
      </c>
      <c r="I539" s="13" t="str">
        <f t="shared" si="558"/>
        <v>-</v>
      </c>
      <c r="J539" s="13">
        <f t="shared" si="558"/>
        <v>0.28035452830691948</v>
      </c>
      <c r="K539" s="13">
        <f t="shared" si="558"/>
        <v>0.28990128609199983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0.36266500490775538</v>
      </c>
      <c r="G541" s="13">
        <f t="shared" ref="G541:K541" si="562">IFERROR(G95/SUM(G323,G478),"-")</f>
        <v>0.36274801265691214</v>
      </c>
      <c r="H541" s="13">
        <f t="shared" si="562"/>
        <v>0.36140732756624894</v>
      </c>
      <c r="I541" s="13">
        <f t="shared" si="562"/>
        <v>0.36401783982671282</v>
      </c>
      <c r="J541" s="13">
        <f t="shared" si="562"/>
        <v>0.3693238389063459</v>
      </c>
      <c r="K541" s="13">
        <f t="shared" si="562"/>
        <v>0.37492957650152853</v>
      </c>
      <c r="L541" s="13">
        <f t="shared" ref="L541" si="563">IFERROR(L95/SUM(L323,L478),"-")</f>
        <v>0.38512104425357779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0.30769985712425119</v>
      </c>
      <c r="G542" s="13">
        <f t="shared" ref="G542:K542" si="564">IFERROR(G96/SUM(G324,G479),"-")</f>
        <v>0.35968404562991307</v>
      </c>
      <c r="H542" s="13">
        <f t="shared" si="564"/>
        <v>0.34820778304549238</v>
      </c>
      <c r="I542" s="13" t="str">
        <f t="shared" si="564"/>
        <v>-</v>
      </c>
      <c r="J542" s="13">
        <f t="shared" si="564"/>
        <v>0.3207832987170896</v>
      </c>
      <c r="K542" s="13">
        <f t="shared" si="564"/>
        <v>0.33278569909281686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0.35745695376016556</v>
      </c>
      <c r="G544" s="13">
        <f t="shared" ref="G544:K544" si="568">IFERROR(G131/G359,"-")</f>
        <v>0.35745695376016601</v>
      </c>
      <c r="H544" s="13">
        <f t="shared" si="568"/>
        <v>0.35745695376016617</v>
      </c>
      <c r="I544" s="13">
        <f t="shared" si="568"/>
        <v>0.35745695376016579</v>
      </c>
      <c r="J544" s="13">
        <f t="shared" si="568"/>
        <v>0.35745695376016617</v>
      </c>
      <c r="K544" s="13">
        <f t="shared" si="568"/>
        <v>0.35745695376016556</v>
      </c>
      <c r="L544" s="13">
        <f t="shared" ref="L544" si="569">IFERROR(L131/L359,"-")</f>
        <v>0.35745695376016606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0.33470839322286861</v>
      </c>
      <c r="L545" s="13">
        <f t="shared" ref="L545" si="571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3.8383651712306913E-2</v>
      </c>
      <c r="G546" s="13">
        <f t="shared" ref="G546:K546" si="572">IFERROR(G133/SUM(G361,G428),"-")</f>
        <v>3.6853888381483006E-2</v>
      </c>
      <c r="H546" s="13">
        <f t="shared" si="572"/>
        <v>3.7055070274969119E-2</v>
      </c>
      <c r="I546" s="13">
        <f t="shared" si="572"/>
        <v>3.65763019578609E-2</v>
      </c>
      <c r="J546" s="13">
        <f t="shared" si="572"/>
        <v>3.5357281864390751E-2</v>
      </c>
      <c r="K546" s="13">
        <f t="shared" si="572"/>
        <v>3.255081118317444E-2</v>
      </c>
      <c r="L546" s="13">
        <f t="shared" ref="L546" si="573">IFERROR(L133/SUM(L361,L428),"-")</f>
        <v>1.1646729515666358E-2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4.8242849883234781E-2</v>
      </c>
      <c r="L547" s="13">
        <f t="shared" ref="L547" si="575">IFERROR(L134/SUM(L362,L429),"-")</f>
        <v>5.3999999999999999E-2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6.1999117974029301E-2</v>
      </c>
      <c r="G548" s="13">
        <f t="shared" ref="G548:K548" si="576">IFERROR(G135/SUM(G363,G504),"-")</f>
        <v>6.19800337306309E-2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6.1972650567355292E-2</v>
      </c>
      <c r="K548" s="13">
        <f t="shared" si="576"/>
        <v>6.1972650567355347E-2</v>
      </c>
      <c r="L548" s="13">
        <f t="shared" ref="L548" si="577">IFERROR(L135/SUM(L363,L504),"-")</f>
        <v>6.1972650567355257E-2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4.7880823847050405E-2</v>
      </c>
      <c r="L549" s="13">
        <f t="shared" ref="L549" si="579">IFERROR(L136/SUM(L364,L505),"-")</f>
        <v>4.5431760215214292E-2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0.24186570210011876</v>
      </c>
      <c r="G550" s="13">
        <f t="shared" ref="G550:K550" si="580">IFERROR(G152/SUM(G380,G437),"-")</f>
        <v>0.21141804762591651</v>
      </c>
      <c r="H550" s="13">
        <f t="shared" si="580"/>
        <v>0.19825775103440851</v>
      </c>
      <c r="I550" s="13">
        <f t="shared" si="580"/>
        <v>0.26435414648723699</v>
      </c>
      <c r="J550" s="13">
        <f t="shared" si="580"/>
        <v>0.29048650240517215</v>
      </c>
      <c r="K550" s="13">
        <f t="shared" si="580"/>
        <v>0.38144455174589242</v>
      </c>
      <c r="L550" s="13">
        <f t="shared" ref="L550" si="581">IFERROR(L152/SUM(L380,L437),"-")</f>
        <v>0.36975358992100232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0.21245422364988759</v>
      </c>
      <c r="L551" s="13">
        <f t="shared" ref="L551" si="583">IFERROR(L153/L381,"-")</f>
        <v>0.25777430178555927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0.19772839492937955</v>
      </c>
      <c r="G552" s="13">
        <f t="shared" ref="G552:K552" si="584">IFERROR(G154/SUM(G382,G513),"-")</f>
        <v>0.22551477972426151</v>
      </c>
      <c r="H552" s="13">
        <f t="shared" si="584"/>
        <v>0.26713763993513401</v>
      </c>
      <c r="I552" s="13">
        <f t="shared" si="584"/>
        <v>0.33820822076740026</v>
      </c>
      <c r="J552" s="13">
        <f t="shared" si="584"/>
        <v>0.34558943517934343</v>
      </c>
      <c r="K552" s="13">
        <f t="shared" si="584"/>
        <v>0.35256093591305293</v>
      </c>
      <c r="L552" s="13">
        <f t="shared" ref="L552" si="585">IFERROR(L154/SUM(L382,L513),"-")</f>
        <v>0.36748434937291152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0.33003563253441759</v>
      </c>
      <c r="L553" s="13">
        <f t="shared" ref="L553" si="587">IFERROR(L155/SUM(L383,L514),"-")</f>
        <v>0.34888719169126503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0.21543730127953434</v>
      </c>
      <c r="K554" s="13">
        <f t="shared" si="588"/>
        <v>0.24028937615091986</v>
      </c>
      <c r="L554" s="13">
        <f t="shared" ref="L554" si="589">IFERROR(L156/SUM(L384,L515),"-")</f>
        <v>0.2348055023161556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0.26742090707420446</v>
      </c>
      <c r="K555" s="13">
        <f t="shared" si="590"/>
        <v>0.27407351621109272</v>
      </c>
      <c r="L555" s="13">
        <f t="shared" ref="L555" si="591">IFERROR(L157/SUM(L385,L516),"-")</f>
        <v>0.28438287173191523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0.27387370122477422</v>
      </c>
      <c r="K556" s="13">
        <f t="shared" si="592"/>
        <v>0.30056452652093973</v>
      </c>
      <c r="L556" s="13">
        <f t="shared" ref="L556" si="593">IFERROR(L158/SUM(L386,L517),"-")</f>
        <v>0.27975628617345505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0.14999999999999997</v>
      </c>
      <c r="L563" s="13">
        <f t="shared" ref="L563" si="595">IFERROR(L168/L396,"-")</f>
        <v>0.15000000000000002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0.42000000000000032</v>
      </c>
      <c r="L564" s="13">
        <f t="shared" ref="L564" si="597">IFERROR(L170/SUM(L398,L439),"-")</f>
        <v>0.42000000000000043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 t="str">
        <f t="shared" si="598"/>
        <v>-</v>
      </c>
      <c r="J565" s="13">
        <f t="shared" si="598"/>
        <v>0.5225000000000003</v>
      </c>
      <c r="K565" s="13">
        <f t="shared" si="598"/>
        <v>0.54999999999999982</v>
      </c>
      <c r="L565" s="13">
        <f t="shared" ref="L565" si="599">IFERROR(L171/SUM(L399,L519),"-")</f>
        <v>0.59999999999999987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>
        <f t="shared" si="600"/>
        <v>0.47499999999999981</v>
      </c>
      <c r="J566" s="13">
        <f t="shared" si="600"/>
        <v>0.5075000000000004</v>
      </c>
      <c r="K566" s="13">
        <f t="shared" si="600"/>
        <v>0.54000000000000059</v>
      </c>
      <c r="L566" s="13">
        <f t="shared" ref="L566" si="601">IFERROR(L172/SUM(L400,L520),"-")</f>
        <v>0.57500000000000007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0.69931443266813453</v>
      </c>
      <c r="G567" s="13">
        <f t="shared" si="602"/>
        <v>0.69878423524609468</v>
      </c>
      <c r="H567" s="13">
        <f t="shared" si="602"/>
        <v>0.69985716822681543</v>
      </c>
      <c r="I567" s="13">
        <f t="shared" si="602"/>
        <v>0.69975307245190632</v>
      </c>
      <c r="J567" s="13">
        <f t="shared" si="602"/>
        <v>0.69971809362822712</v>
      </c>
      <c r="K567" s="13">
        <f t="shared" si="602"/>
        <v>0.69980344071657674</v>
      </c>
      <c r="L567" s="13">
        <f t="shared" ref="L567" si="603">IFERROR(L174/L402,"-")</f>
        <v>0.69997004492810599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0.86250664248352937</v>
      </c>
      <c r="G568" s="13">
        <f t="shared" si="602"/>
        <v>0.86447084629001925</v>
      </c>
      <c r="H568" s="13">
        <f t="shared" si="602"/>
        <v>0.86689614711489738</v>
      </c>
      <c r="I568" s="13">
        <f t="shared" si="602"/>
        <v>0.86689958784674026</v>
      </c>
      <c r="J568" s="13">
        <f t="shared" si="602"/>
        <v>0.86701935741900504</v>
      </c>
      <c r="K568" s="13">
        <f t="shared" si="602"/>
        <v>0.86703767170560142</v>
      </c>
      <c r="L568" s="13">
        <f t="shared" ref="L568" si="604">IFERROR(L175/L403,"-")</f>
        <v>0.8670389946554472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0.89405871520733504</v>
      </c>
      <c r="G569" s="13">
        <f t="shared" si="602"/>
        <v>0.89417455130065726</v>
      </c>
      <c r="H569" s="13">
        <f t="shared" si="602"/>
        <v>0.89396974012474595</v>
      </c>
      <c r="I569" s="13">
        <f t="shared" si="602"/>
        <v>0.89400318729257278</v>
      </c>
      <c r="J569" s="13">
        <f t="shared" si="602"/>
        <v>0.89423071378939833</v>
      </c>
      <c r="K569" s="13">
        <f t="shared" si="602"/>
        <v>0.89426903679494463</v>
      </c>
      <c r="L569" s="13">
        <f t="shared" ref="L569" si="605">IFERROR(L176/L404,"-")</f>
        <v>0.89426958854179917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0.90037042204866857</v>
      </c>
      <c r="G570" s="13">
        <f t="shared" si="602"/>
        <v>0.90138365288986189</v>
      </c>
      <c r="H570" s="13">
        <f t="shared" si="602"/>
        <v>0.90416832891720367</v>
      </c>
      <c r="I570" s="13">
        <f t="shared" si="602"/>
        <v>0.90422838182852994</v>
      </c>
      <c r="J570" s="13">
        <f t="shared" si="602"/>
        <v>0.9042643170294048</v>
      </c>
      <c r="K570" s="13">
        <f t="shared" si="602"/>
        <v>0.90426585580405749</v>
      </c>
      <c r="L570" s="13">
        <f t="shared" ref="L570" si="606">IFERROR(L177/L405,"-")</f>
        <v>0.90426675749006036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0.90057239409134626</v>
      </c>
      <c r="G571" s="13">
        <f t="shared" si="602"/>
        <v>0.9009833673623141</v>
      </c>
      <c r="H571" s="13">
        <f t="shared" si="602"/>
        <v>0.90416902250605558</v>
      </c>
      <c r="I571" s="13">
        <f t="shared" si="602"/>
        <v>0.90424131357424653</v>
      </c>
      <c r="J571" s="13">
        <f t="shared" si="602"/>
        <v>0.90426401888550179</v>
      </c>
      <c r="K571" s="13">
        <f t="shared" si="602"/>
        <v>0.90426512119668478</v>
      </c>
      <c r="L571" s="13">
        <f t="shared" ref="L571" si="607">IFERROR(L178/L406,"-")</f>
        <v>0.90426634928531013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0.90019641064915912</v>
      </c>
      <c r="G572" s="13">
        <f t="shared" si="602"/>
        <v>0.90064933187315177</v>
      </c>
      <c r="H572" s="13">
        <f t="shared" si="602"/>
        <v>0.90394942583023508</v>
      </c>
      <c r="I572" s="13">
        <f t="shared" si="602"/>
        <v>0.90401720579650591</v>
      </c>
      <c r="J572" s="13">
        <f t="shared" si="602"/>
        <v>0.90421528795123074</v>
      </c>
      <c r="K572" s="13">
        <f t="shared" si="602"/>
        <v>0.90426450062233765</v>
      </c>
      <c r="L572" s="13">
        <f t="shared" ref="L572" si="608">IFERROR(L179/L407,"-")</f>
        <v>0.90426574024595685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0.90052004376005956</v>
      </c>
      <c r="G573" s="13">
        <f t="shared" si="602"/>
        <v>0.90135119115981377</v>
      </c>
      <c r="H573" s="13">
        <f t="shared" si="602"/>
        <v>0.9041954928993251</v>
      </c>
      <c r="I573" s="13">
        <f t="shared" si="602"/>
        <v>0.90424707092473544</v>
      </c>
      <c r="J573" s="13">
        <f t="shared" si="602"/>
        <v>0.9042653006639636</v>
      </c>
      <c r="K573" s="13">
        <f t="shared" si="602"/>
        <v>0.90426787808160269</v>
      </c>
      <c r="L573" s="13">
        <f t="shared" ref="L573" si="609">IFERROR(L180/L408,"-")</f>
        <v>0.9042683317023148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0.59933876097681749</v>
      </c>
      <c r="G575" s="4">
        <f t="shared" ref="G575:K575" si="610">IFERROR(G212/G442,"-")</f>
        <v>0.50264691831800212</v>
      </c>
      <c r="H575" s="4">
        <f t="shared" si="610"/>
        <v>0.39720153030678867</v>
      </c>
      <c r="I575" s="4">
        <f t="shared" si="610"/>
        <v>0.38083293048419886</v>
      </c>
      <c r="J575" s="4">
        <f t="shared" si="610"/>
        <v>0.38083293048419914</v>
      </c>
      <c r="K575" s="4">
        <f t="shared" si="610"/>
        <v>0.38083293048419875</v>
      </c>
      <c r="L575" s="4">
        <f t="shared" ref="L575" si="611">IFERROR(L212/L442,"-")</f>
        <v>0.38083293048419925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14">IFERROR(G220/G450,"-")</f>
        <v>0.85445501111132449</v>
      </c>
      <c r="H577" s="4">
        <f t="shared" si="614"/>
        <v>0.85445501111132538</v>
      </c>
      <c r="I577" s="4">
        <f t="shared" si="614"/>
        <v>0.85445501111132494</v>
      </c>
      <c r="J577" s="4">
        <f t="shared" si="614"/>
        <v>0.85445501111132471</v>
      </c>
      <c r="K577" s="4">
        <f t="shared" si="614"/>
        <v>0.85445501111132593</v>
      </c>
      <c r="L577" s="4">
        <f t="shared" ref="L577" si="615">IFERROR(L220/L450,"-")</f>
        <v>0.85445501111132505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0.6999999999999994</v>
      </c>
      <c r="G578" s="4">
        <f t="shared" ref="G578:K578" si="616">IFERROR(G226/G456,"-")</f>
        <v>0.69999999999999929</v>
      </c>
      <c r="H578" s="4">
        <f t="shared" si="616"/>
        <v>0.69999999999999962</v>
      </c>
      <c r="I578" s="4">
        <f t="shared" si="616"/>
        <v>0.70000000000000007</v>
      </c>
      <c r="J578" s="4">
        <f t="shared" si="616"/>
        <v>0.70000000000000018</v>
      </c>
      <c r="K578" s="4">
        <f t="shared" si="616"/>
        <v>0.6999999999999994</v>
      </c>
      <c r="L578" s="4">
        <f t="shared" ref="L578" si="617">IFERROR(L226/L456,"-")</f>
        <v>0.69999999999999962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0.50000000000000033</v>
      </c>
      <c r="J579">
        <f t="shared" si="618"/>
        <v>0.49999999999999956</v>
      </c>
      <c r="K579">
        <f t="shared" si="618"/>
        <v>0.49999999999999922</v>
      </c>
      <c r="L579">
        <f t="shared" ref="L579" si="619">IFERROR(L228/L458,"-")</f>
        <v>0.49999999999999978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0.85000000000000064</v>
      </c>
      <c r="L580">
        <f t="shared" ref="L580" si="621">IFERROR(L230/L460,"-")</f>
        <v>0.85000000000000009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2.9999999999999978</v>
      </c>
      <c r="H581" s="4">
        <f t="shared" si="622"/>
        <v>3.0000000000000018</v>
      </c>
      <c r="I581" s="4">
        <f t="shared" si="622"/>
        <v>3.0000000000000009</v>
      </c>
      <c r="J581" s="4">
        <f t="shared" si="622"/>
        <v>3.0000000000000027</v>
      </c>
      <c r="K581" s="4">
        <f t="shared" si="622"/>
        <v>3.0000000000000022</v>
      </c>
      <c r="L581" s="4">
        <f t="shared" ref="L581" si="623">IFERROR(L232/L462,"-")</f>
        <v>2.9999999999999987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0.13920514596278311</v>
      </c>
      <c r="G582" s="3">
        <f>[1]Other_transformation!C$5</f>
        <v>1.2028627611103246</v>
      </c>
      <c r="H582" s="3">
        <f>[1]Other_transformation!D$5</f>
        <v>1.2012468494261463</v>
      </c>
      <c r="I582" s="3">
        <f>[1]Other_transformation!E$5</f>
        <v>2.0055232869130191E-2</v>
      </c>
      <c r="J582" s="3">
        <f>[2]Other_transformation!F$5</f>
        <v>5.3298562983814738E-4</v>
      </c>
      <c r="K582" s="3">
        <f>[2]Other_transformation!G$5</f>
        <v>5.8120140522592515E-3</v>
      </c>
      <c r="L582" s="3">
        <f>[2]Other_transformation!H$5</f>
        <v>0.15843451128203634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0.13920514596278311</v>
      </c>
      <c r="G583" s="1">
        <f t="shared" ref="G583:K583" si="624">G582</f>
        <v>1.2028627611103246</v>
      </c>
      <c r="H583" s="1">
        <f t="shared" si="624"/>
        <v>1.2012468494261463</v>
      </c>
      <c r="I583" s="1">
        <f t="shared" si="624"/>
        <v>2.0055232869130191E-2</v>
      </c>
      <c r="J583" s="1">
        <f t="shared" si="624"/>
        <v>5.3298562983814738E-4</v>
      </c>
      <c r="K583" s="1">
        <f t="shared" si="624"/>
        <v>5.8120140522592515E-3</v>
      </c>
      <c r="L583" s="1">
        <f t="shared" ref="L583" si="625">L582</f>
        <v>0.15843451128203634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0.13920514596278311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1.2028627611103246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1.2012468494261463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2.0055232869130191E-2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5.3298562983814738E-4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5.8120140522592515E-3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0.15843451128203634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5.429000692548535E-2</v>
      </c>
      <c r="G586" s="3">
        <f t="shared" ref="G586:L586" si="626">G587</f>
        <v>0.46911647683302599</v>
      </c>
      <c r="H586" s="3">
        <f t="shared" si="626"/>
        <v>0.46848627127619663</v>
      </c>
      <c r="I586" s="3">
        <f t="shared" si="626"/>
        <v>7.8215408189607639E-3</v>
      </c>
      <c r="J586" s="3">
        <f t="shared" si="626"/>
        <v>2.0786439563687709E-4</v>
      </c>
      <c r="K586" s="3">
        <f t="shared" si="626"/>
        <v>2.2666854803811052E-3</v>
      </c>
      <c r="L586" s="3">
        <f t="shared" si="626"/>
        <v>6.1789459399994119E-2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5.429000692548535E-2</v>
      </c>
      <c r="G587" s="1">
        <f t="shared" ref="G587:K587" si="627">SUM(G588:G589)</f>
        <v>0.46911647683302599</v>
      </c>
      <c r="H587" s="1">
        <f t="shared" si="627"/>
        <v>0.46848627127619663</v>
      </c>
      <c r="I587" s="1">
        <f t="shared" si="627"/>
        <v>7.8215408189607639E-3</v>
      </c>
      <c r="J587" s="1">
        <f t="shared" si="627"/>
        <v>2.0786439563687709E-4</v>
      </c>
      <c r="K587" s="1">
        <f t="shared" si="627"/>
        <v>2.2666854803811052E-3</v>
      </c>
      <c r="L587" s="1">
        <f t="shared" ref="L587" si="628">SUM(L588:L589)</f>
        <v>6.1789459399994119E-2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5.429000692548535E-2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0.46911647683302599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0.46848627127619663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7.8215408189607639E-3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2.0786439563687709E-4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2.2666854803811052E-3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6.1789459399994119E-2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0.40633982106536376</v>
      </c>
      <c r="G590" s="3">
        <f t="shared" ref="G590:K590" si="629">G591+G594</f>
        <v>3.5111563996810351</v>
      </c>
      <c r="H590" s="3">
        <f t="shared" si="629"/>
        <v>3.5064395534749204</v>
      </c>
      <c r="I590" s="3">
        <f t="shared" si="629"/>
        <v>5.8541224744991009E-2</v>
      </c>
      <c r="J590" s="3">
        <f t="shared" si="629"/>
        <v>1.5557850534975515E-3</v>
      </c>
      <c r="K590" s="3">
        <f t="shared" si="629"/>
        <v>1.696526901854473E-2</v>
      </c>
      <c r="L590" s="3">
        <f t="shared" ref="L590" si="630">L591+L594</f>
        <v>0.46247033843226376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0.39666506342095031</v>
      </c>
      <c r="G591" s="1">
        <f t="shared" ref="G591:K591" si="631">SUM(G592:G593)</f>
        <v>3.4275574377838676</v>
      </c>
      <c r="H591" s="1">
        <f t="shared" si="631"/>
        <v>3.4229528974398034</v>
      </c>
      <c r="I591" s="1">
        <f t="shared" si="631"/>
        <v>5.7147386060586461E-2</v>
      </c>
      <c r="J591" s="1">
        <f t="shared" si="631"/>
        <v>1.5187425522238003E-3</v>
      </c>
      <c r="K591" s="1">
        <f t="shared" si="631"/>
        <v>1.6561334041912713E-2</v>
      </c>
      <c r="L591" s="1">
        <f t="shared" ref="L591" si="632">SUM(L592:L593)</f>
        <v>0.45145913989816222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0.39666506342095031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3.4275574377838676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3.4229528974398034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5.7147386060586461E-2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1.5187425522238003E-3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1.6561334041912713E-2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0.45145913989816222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9.6747576444134228E-3</v>
      </c>
      <c r="G594" s="1">
        <f t="shared" ref="G594:K594" si="633">SUM(G595:G596)</f>
        <v>8.3598961897167479E-2</v>
      </c>
      <c r="H594" s="1">
        <f t="shared" si="633"/>
        <v>8.3486656035117041E-2</v>
      </c>
      <c r="I594" s="1">
        <f t="shared" si="633"/>
        <v>1.3938386844045481E-3</v>
      </c>
      <c r="J594" s="1">
        <f t="shared" si="633"/>
        <v>3.7042501273751222E-5</v>
      </c>
      <c r="K594" s="1">
        <f t="shared" si="633"/>
        <v>4.0393497663201777E-4</v>
      </c>
      <c r="L594" s="1">
        <f t="shared" ref="L594" si="634">SUM(L595:L596)</f>
        <v>1.1011198534101522E-2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9.6747576444134228E-3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8.3598961897167479E-2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8.3486656035117041E-2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1.3938386844045481E-3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3.7042501273751222E-5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4.0393497663201777E-4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1.1011198534101522E-2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0.47619047619047622</v>
      </c>
      <c r="G598" s="4">
        <f t="shared" ref="G598:K599" si="635">IFERROR(SUM(G584,G588)/SUM(G592,G595),"-")</f>
        <v>0.47619047619047639</v>
      </c>
      <c r="H598" s="4">
        <f t="shared" si="635"/>
        <v>0.47619047619047616</v>
      </c>
      <c r="I598" s="4">
        <f t="shared" si="635"/>
        <v>0.47619047619047611</v>
      </c>
      <c r="J598" s="4">
        <f t="shared" si="635"/>
        <v>0.47619047619047616</v>
      </c>
      <c r="K598" s="4">
        <f t="shared" si="635"/>
        <v>0.47619047619047677</v>
      </c>
      <c r="L598" s="4">
        <f t="shared" ref="L598" si="636">IFERROR(SUM(L584,L588)/SUM(L592,L595),"-")</f>
        <v>0.47619047619047639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1.4976588400328694</v>
      </c>
      <c r="G600" s="1">
        <f>[1]Other_transformation!C$12</f>
        <v>0.33732625099450675</v>
      </c>
      <c r="H600" s="1">
        <f>[1]Other_transformation!D$12</f>
        <v>1.5378252262442138</v>
      </c>
      <c r="I600" s="1">
        <f>[1]Other_transformation!E$12</f>
        <v>1.985991608904857</v>
      </c>
      <c r="J600" s="1">
        <f>[2]Other_transformation!F$12</f>
        <v>2.8677779955654683E-4</v>
      </c>
      <c r="K600" s="1">
        <f>[2]Other_transformation!G$12</f>
        <v>3.6650755499170826E-4</v>
      </c>
      <c r="L600" s="1">
        <f>[2]Other_transformation!H$12</f>
        <v>5.1475967422419139E-4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1.4976588400328694</v>
      </c>
      <c r="G601" s="1">
        <f t="shared" ref="G601:K601" si="638">SUM(G602:G603)</f>
        <v>0.33732625099450675</v>
      </c>
      <c r="H601" s="1">
        <f t="shared" si="638"/>
        <v>1.5378252262442138</v>
      </c>
      <c r="I601" s="1">
        <f t="shared" si="638"/>
        <v>1.985991608904857</v>
      </c>
      <c r="J601" s="1">
        <f t="shared" si="638"/>
        <v>2.8677779955654683E-4</v>
      </c>
      <c r="K601" s="1">
        <f t="shared" si="638"/>
        <v>3.6650755499170826E-4</v>
      </c>
      <c r="L601" s="1">
        <f t="shared" ref="L601" si="639">SUM(L602:L603)</f>
        <v>5.1475967422419139E-4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1.4976588400328694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0.33732625099450675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1.5378252262442138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1.985991608904857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2.8677779955654683E-4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3.6650755499170826E-4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5.1475967422419139E-4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5.5862674733226019</v>
      </c>
      <c r="G604" s="3">
        <f t="shared" ref="G604:K604" si="641">G605+G608</f>
        <v>1.2582269162095112</v>
      </c>
      <c r="H604" s="3">
        <f t="shared" si="641"/>
        <v>5.7360880938909116</v>
      </c>
      <c r="I604" s="3">
        <f t="shared" si="641"/>
        <v>7.4077487012151142</v>
      </c>
      <c r="J604" s="3">
        <f t="shared" si="641"/>
        <v>1.0696811923459196E-3</v>
      </c>
      <c r="K604" s="3">
        <f t="shared" si="641"/>
        <v>1.3670731801190726E-3</v>
      </c>
      <c r="L604" s="3">
        <f t="shared" ref="L604" si="642">L605+L608</f>
        <v>1.9200535848562326E-3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3.1301069756686961</v>
      </c>
      <c r="G605" s="1">
        <f t="shared" ref="G605:K605" si="643">SUM(G606:G607)</f>
        <v>0.70501186457851961</v>
      </c>
      <c r="H605" s="1">
        <f t="shared" si="643"/>
        <v>3.2140547228504026</v>
      </c>
      <c r="I605" s="1">
        <f t="shared" si="643"/>
        <v>4.1507224626111485</v>
      </c>
      <c r="J605" s="1">
        <f t="shared" si="643"/>
        <v>5.9936560107318301E-4</v>
      </c>
      <c r="K605" s="1">
        <f t="shared" si="643"/>
        <v>7.6600078993267046E-4</v>
      </c>
      <c r="L605" s="1">
        <f t="shared" ref="L605" si="644">SUM(L606:L607)</f>
        <v>1.075847719128559E-3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3.1301069756686961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0.70501186457851961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3.2140547228504026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4.1507224626111485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5.9936560107318301E-4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7.6600078993267046E-4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1.075847719128559E-3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2.4561604976539053</v>
      </c>
      <c r="G608" s="1">
        <f t="shared" ref="G608:K608" si="645">SUM(G609:G610)</f>
        <v>0.55321505163099161</v>
      </c>
      <c r="H608" s="1">
        <f t="shared" si="645"/>
        <v>2.5220333710405085</v>
      </c>
      <c r="I608" s="1">
        <f t="shared" si="645"/>
        <v>3.2570262386039661</v>
      </c>
      <c r="J608" s="1">
        <f t="shared" si="645"/>
        <v>4.7031559127273668E-4</v>
      </c>
      <c r="K608" s="1">
        <f t="shared" si="645"/>
        <v>6.0107239018640209E-4</v>
      </c>
      <c r="L608" s="1">
        <f t="shared" ref="L608" si="646">SUM(L609:L610)</f>
        <v>8.4420586572767347E-4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2.4561604976539053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0.55321505163099161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2.5220333710405085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3.2570262386039661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4.7031559127273668E-4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6.0107239018640209E-4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8.4420586572767347E-4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0.2680965147453081</v>
      </c>
      <c r="H612">
        <f t="shared" si="647"/>
        <v>0.2680965147453086</v>
      </c>
      <c r="I612">
        <f t="shared" si="647"/>
        <v>0.26809651474530838</v>
      </c>
      <c r="J612">
        <f t="shared" si="647"/>
        <v>0.26809651474530832</v>
      </c>
      <c r="K612">
        <f t="shared" si="647"/>
        <v>0.26809651474530816</v>
      </c>
      <c r="L612">
        <f t="shared" ref="L612" si="648">IFERROR(L602/SUM(L606,L609),"-")</f>
        <v>0.26809651474530849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6.9575359167281103</v>
      </c>
      <c r="G614" s="3">
        <f t="shared" ref="G614" si="650">G615+G616+G621</f>
        <v>10.781614018943737</v>
      </c>
      <c r="H614" s="3">
        <f t="shared" ref="H614" si="651">H615+H616+H621</f>
        <v>10.307897165196621</v>
      </c>
      <c r="I614" s="3">
        <f t="shared" ref="I614" si="652">I615+I616+I621</f>
        <v>11.312682923245983</v>
      </c>
      <c r="J614" s="3">
        <f t="shared" ref="J614" si="653">J615+J616+J621</f>
        <v>12.074321976521865</v>
      </c>
      <c r="K614" s="3">
        <f t="shared" ref="K614:L614" si="654">K615+K616+K621</f>
        <v>20.595461588732924</v>
      </c>
      <c r="L614" s="3">
        <f t="shared" si="654"/>
        <v>22.557299248515562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1.3280740866753387</v>
      </c>
      <c r="G615" s="1">
        <f>[1]Other_transformation!C$19</f>
        <v>4.3847409383883615</v>
      </c>
      <c r="H615" s="1">
        <f>[1]Other_transformation!D$19</f>
        <v>4.3847627332042052</v>
      </c>
      <c r="I615" s="1">
        <f>[1]Other_transformation!E$19</f>
        <v>4.3847661262857534</v>
      </c>
      <c r="J615" s="1">
        <f>[2]Other_transformation!F$19</f>
        <v>4.3847714838416545</v>
      </c>
      <c r="K615" s="1">
        <f>[2]Other_transformation!G$19</f>
        <v>6.070031068482626</v>
      </c>
      <c r="L615" s="1">
        <f>[2]Other_transformation!H$19</f>
        <v>6.5778941084580129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5.6294618300527715</v>
      </c>
      <c r="G616" s="1">
        <f>[1]Other_transformation!C$20</f>
        <v>6.3922909624357347</v>
      </c>
      <c r="H616" s="1">
        <f>[1]Other_transformation!D$20</f>
        <v>5.9210631640321649</v>
      </c>
      <c r="I616" s="1">
        <f>[1]Other_transformation!E$20</f>
        <v>6.9211513247449021</v>
      </c>
      <c r="J616" s="1">
        <f>[2]Other_transformation!F$20</f>
        <v>7.6886772642684678</v>
      </c>
      <c r="K616" s="1">
        <f>[2]Other_transformation!G$20</f>
        <v>8.5092968040217585</v>
      </c>
      <c r="L616" s="1">
        <f>[2]Other_transformation!H$20</f>
        <v>9.9632492366980951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5.6294618300527715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6.3922909624357347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5.9210631640321649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6.9211513247449021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7.6886772642684678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8.4080489073263092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9.8447465675045578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0.10124789669544981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0.11850266919353812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4.5821181196408333E-3</v>
      </c>
      <c r="H621" s="1">
        <f>[1]Other_transformation!D$21</f>
        <v>2.0712679602506927E-3</v>
      </c>
      <c r="I621" s="1">
        <f>[1]Other_transformation!E$21</f>
        <v>6.7654722153275993E-3</v>
      </c>
      <c r="J621" s="1">
        <f>[2]Other_transformation!F$21</f>
        <v>8.732284117430138E-4</v>
      </c>
      <c r="K621" s="1">
        <f>[2]Other_transformation!G$21</f>
        <v>6.0161337162285413</v>
      </c>
      <c r="L621" s="1">
        <f>[2]Other_transformation!H$21</f>
        <v>6.0161559033594525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4.5821181196408333E-3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2.0712679602506927E-3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6.7654722153275993E-3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8.732284117430138E-4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6.0161337162285413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6.0161559033594525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0.11258923660105545</v>
      </c>
      <c r="G624" s="3">
        <f t="shared" ref="G624" si="655">G625+G626+G631</f>
        <v>0.1280291039735004</v>
      </c>
      <c r="H624" s="3">
        <f t="shared" ref="H624" si="656">H625+H626+H631</f>
        <v>0.11850411399905326</v>
      </c>
      <c r="I624" s="3">
        <f t="shared" ref="I624" si="657">I625+I626+I631</f>
        <v>0.13869364538351137</v>
      </c>
      <c r="J624" s="3">
        <f t="shared" ref="J624" si="658">J625+J626+J631</f>
        <v>0.15380847442183904</v>
      </c>
      <c r="K624" s="3">
        <f t="shared" ref="K624:L624" si="659">K625+K626+K631</f>
        <v>0.40880632679566825</v>
      </c>
      <c r="L624" s="3">
        <f t="shared" si="659"/>
        <v>0.43754116748447003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0.11258923660105545</v>
      </c>
      <c r="G626" s="1">
        <f t="shared" ref="G626:K626" si="660">SUM(G627:G630)</f>
        <v>0.12784581924871477</v>
      </c>
      <c r="H626" s="1">
        <f t="shared" si="660"/>
        <v>0.11842126328064324</v>
      </c>
      <c r="I626" s="1">
        <f t="shared" si="660"/>
        <v>0.13842302649489827</v>
      </c>
      <c r="J626" s="1">
        <f t="shared" si="660"/>
        <v>0.15377354528536932</v>
      </c>
      <c r="K626" s="1">
        <f t="shared" si="660"/>
        <v>0.16816097814652631</v>
      </c>
      <c r="L626" s="1">
        <f t="shared" ref="L626" si="661">SUM(L627:L630)</f>
        <v>0.1968949313500912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0.11258923660105545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0.12784581924871477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0.11842126328064324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0.13842302649489827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0.15377354528536932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0.16816097814652631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0.1968949313500912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1.8328472478563364E-4</v>
      </c>
      <c r="H631" s="1">
        <f t="shared" si="662"/>
        <v>8.2850718410027737E-5</v>
      </c>
      <c r="I631" s="1">
        <f t="shared" si="662"/>
        <v>2.7061888861310462E-4</v>
      </c>
      <c r="J631" s="1">
        <f t="shared" si="662"/>
        <v>3.4929136469720606E-5</v>
      </c>
      <c r="K631" s="1">
        <f t="shared" si="662"/>
        <v>0.24064534864914194</v>
      </c>
      <c r="L631" s="1">
        <f t="shared" ref="L631" si="663">SUM(L632:L633)</f>
        <v>0.2406462361343788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1.8328472478563364E-4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8.2850718410027737E-5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2.7061888861310462E-4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3.4929136469720606E-5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0.24064534864914194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0.2406462361343788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5.4985417435690089E-4</v>
      </c>
      <c r="H634" s="3">
        <f t="shared" ref="H634" si="665">H635+H636+H641</f>
        <v>2.4855215523008283E-4</v>
      </c>
      <c r="I634" s="3">
        <f t="shared" ref="I634" si="666">I635+I636+I641</f>
        <v>8.1185666583931209E-4</v>
      </c>
      <c r="J634" s="3">
        <f t="shared" ref="J634" si="667">J635+J636+J641</f>
        <v>1.0478740940916168E-4</v>
      </c>
      <c r="K634" s="3">
        <f t="shared" ref="K634:L634" si="668">K635+K636+K641</f>
        <v>0.72193604594742511</v>
      </c>
      <c r="L634" s="3">
        <f t="shared" si="668"/>
        <v>0.72193870840313468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5.4985417435690089E-4</v>
      </c>
      <c r="H641" s="1">
        <f t="shared" ref="H641" si="675">SUM(H642:H643)</f>
        <v>2.4855215523008283E-4</v>
      </c>
      <c r="I641" s="1">
        <f t="shared" ref="I641" si="676">SUM(I642:I643)</f>
        <v>8.1185666583931209E-4</v>
      </c>
      <c r="J641" s="1">
        <f t="shared" ref="J641" si="677">SUM(J642:J643)</f>
        <v>1.0478740940916168E-4</v>
      </c>
      <c r="K641" s="1">
        <f t="shared" ref="K641:L641" si="678">SUM(K642:K643)</f>
        <v>0.72193604594742511</v>
      </c>
      <c r="L641" s="1">
        <f t="shared" si="678"/>
        <v>0.72193870840313468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5.4985417435690089E-4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2.4855215523008283E-4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8.1185666583931209E-4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1.0478740940916168E-4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0.72193604594742511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0.72193870840313468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13.477749400250779</v>
      </c>
      <c r="G644" s="3">
        <f t="shared" ref="G644" si="679">G645+G646+G651</f>
        <v>23.537632660948859</v>
      </c>
      <c r="H644" s="3">
        <f t="shared" ref="H644" si="680">H645+H646+H651</f>
        <v>22.724062806180502</v>
      </c>
      <c r="I644" s="3">
        <f t="shared" ref="I644" si="681">I645+I646+I651</f>
        <v>24.449989843615036</v>
      </c>
      <c r="J644" s="3">
        <f t="shared" ref="J644" si="682">J645+J646+J651</f>
        <v>25.761756666819426</v>
      </c>
      <c r="K644" s="3">
        <f t="shared" ref="K644:L644" si="683">K645+K646+K651</f>
        <v>40.083748746416525</v>
      </c>
      <c r="L644" s="3">
        <f t="shared" si="683"/>
        <v>44.031215673785205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3.7982918878914633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12.540359083790694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12.540421416964007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12.540431121177249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12.540446443787125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17.360288855860286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18.812777150189913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9.6794575123593152</v>
      </c>
      <c r="G646" s="1">
        <f t="shared" ref="G646" si="684">SUM(G647:G650)</f>
        <v>10.991087717696651</v>
      </c>
      <c r="H646" s="1">
        <f t="shared" ref="H646" si="685">SUM(H647:H650)</f>
        <v>10.180845177470154</v>
      </c>
      <c r="I646" s="1">
        <f t="shared" ref="I646" si="686">SUM(I647:I650)</f>
        <v>11.900425334947096</v>
      </c>
      <c r="J646" s="1">
        <f t="shared" ref="J646" si="687">SUM(J647:J650)</f>
        <v>13.220131364676449</v>
      </c>
      <c r="K646" s="1">
        <f t="shared" ref="K646:L646" si="688">SUM(K647:K650)</f>
        <v>14.601679373647709</v>
      </c>
      <c r="L646" s="1">
        <f t="shared" si="688"/>
        <v>17.096628054060023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9.6794575123593152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10.991087717696651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10.180845177470154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11.900425334947096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13.220131364676449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14.457039521225639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16.927338526640682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0.14463985242207125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0.16928952741934009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6.1858594615151257E-3</v>
      </c>
      <c r="H651" s="1">
        <f t="shared" ref="H651" si="690">SUM(H652:H653)</f>
        <v>2.7962117463384306E-3</v>
      </c>
      <c r="I651" s="1">
        <f t="shared" ref="I651" si="691">SUM(I652:I653)</f>
        <v>9.1333874906922713E-3</v>
      </c>
      <c r="J651" s="1">
        <f t="shared" ref="J651" si="692">SUM(J652:J653)</f>
        <v>1.1788583558530697E-3</v>
      </c>
      <c r="K651" s="1">
        <f t="shared" ref="K651:L651" si="693">SUM(K652:K653)</f>
        <v>8.1217805169085278</v>
      </c>
      <c r="L651" s="1">
        <f t="shared" si="693"/>
        <v>8.1218104695352675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6.1858594615151257E-3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2.7962117463384306E-3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9.1333874906922713E-3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1.1788583558530697E-3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8.1217805169085278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8.1218104695352675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0.34965034965035013</v>
      </c>
      <c r="G655" s="4">
        <f t="shared" si="694"/>
        <v>0.34965034965035019</v>
      </c>
      <c r="H655" s="4">
        <f t="shared" si="694"/>
        <v>0.34965034965035019</v>
      </c>
      <c r="I655" s="4">
        <f t="shared" si="694"/>
        <v>0.3496503496503498</v>
      </c>
      <c r="J655" s="4">
        <f t="shared" si="694"/>
        <v>0.3496503496503498</v>
      </c>
      <c r="K655" s="4">
        <f t="shared" si="694"/>
        <v>0.34965034965035013</v>
      </c>
      <c r="L655" s="4">
        <f t="shared" ref="L655" si="695">IFERROR(SUM(L635,L625,L615)/L645,"-")</f>
        <v>0.34965034965034975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0.59322033898305038</v>
      </c>
      <c r="G656" s="4">
        <f t="shared" si="696"/>
        <v>0.59322033898305049</v>
      </c>
      <c r="H656" s="4">
        <f t="shared" si="696"/>
        <v>0.59322033898305138</v>
      </c>
      <c r="I656" s="4">
        <f t="shared" si="696"/>
        <v>0.5932203389830506</v>
      </c>
      <c r="J656" s="4">
        <f t="shared" si="696"/>
        <v>0.59322033898305171</v>
      </c>
      <c r="K656" s="4">
        <f t="shared" si="696"/>
        <v>0.59322033898305071</v>
      </c>
      <c r="L656" s="4">
        <f t="shared" ref="L656" si="697">IFERROR(SUM(L637,L627,L617)/L647,"-")</f>
        <v>0.59322033898305127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0.69999999999999951</v>
      </c>
      <c r="L658" s="4">
        <f t="shared" ref="L658" si="699">IFERROR(SUM(L639,L629,L619)/L649,"-")</f>
        <v>0.7000000000000004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0.85925925925925928</v>
      </c>
      <c r="H660" s="4">
        <f t="shared" si="701"/>
        <v>0.8592592592592605</v>
      </c>
      <c r="I660" s="4">
        <f t="shared" si="701"/>
        <v>0.85925925925925828</v>
      </c>
      <c r="J660" s="4">
        <f t="shared" si="701"/>
        <v>0.8592592592592585</v>
      </c>
      <c r="K660" s="4">
        <f t="shared" si="701"/>
        <v>0.85925925925925961</v>
      </c>
      <c r="L660" s="4">
        <f t="shared" ref="L660" si="702">IFERROR(SUM(L642,L632,L622)/L652,"-")</f>
        <v>0.85925925925925872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5.0244558197298922E-3</v>
      </c>
      <c r="G662" s="3">
        <f t="shared" ref="G662:K662" si="704">SUM(G663,G667,G676)</f>
        <v>2.0506674049789439E-2</v>
      </c>
      <c r="H662" s="3">
        <f t="shared" si="704"/>
        <v>2.1291578446892351E-2</v>
      </c>
      <c r="I662" s="3">
        <f t="shared" si="704"/>
        <v>9.9308030190094682E-2</v>
      </c>
      <c r="J662" s="3">
        <f t="shared" si="704"/>
        <v>8.9197861531162328</v>
      </c>
      <c r="K662" s="3">
        <f t="shared" si="704"/>
        <v>27.968393906521854</v>
      </c>
      <c r="L662" s="3">
        <f t="shared" ref="L662" si="705">SUM(L663,L667,L676)</f>
        <v>35.032906473953965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5.0244558197298922E-3</v>
      </c>
      <c r="G663" s="1">
        <f>[1]Other_transformation!C$28</f>
        <v>2.0506674049789439E-2</v>
      </c>
      <c r="H663" s="1">
        <f>[1]Other_transformation!D$28</f>
        <v>2.1291578446892351E-2</v>
      </c>
      <c r="I663" s="1">
        <f>[1]Other_transformation!E$28</f>
        <v>9.0407771843223725E-2</v>
      </c>
      <c r="J663" s="1">
        <f>[2]Other_transformation!F$28</f>
        <v>7.4274115587610519</v>
      </c>
      <c r="K663" s="1">
        <f>[2]Other_transformation!G$28</f>
        <v>26.395887605054511</v>
      </c>
      <c r="L663" s="1">
        <f>[2]Other_transformation!H$28</f>
        <v>33.489656325613282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5.0244558197298922E-3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2.0506674049789439E-2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2.1291578446892351E-2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9.0276552669671578E-2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7.4259916824708316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16.297870444423758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22.815029053190514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1.3121917355214154E-4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1.4198762902198291E-3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10.014567801518554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10.596055271518402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8.34493591121995E-2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7.8572000904368403E-2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5.0789973799761465E-4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2.2920524171772267E-4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2.7869449627989198E-4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5.0789973799761465E-4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2.2920524171772267E-4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2.7869449627989198E-4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8.9002583468709602E-3</v>
      </c>
      <c r="J676" s="1">
        <f t="shared" si="720"/>
        <v>1.4923745943551816</v>
      </c>
      <c r="K676" s="1">
        <f t="shared" si="720"/>
        <v>1.5725063014673428</v>
      </c>
      <c r="L676" s="1">
        <f t="shared" ref="L676" si="721">SUM(L677:L678)</f>
        <v>1.5427422486026849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8.9002583468709602E-3</v>
      </c>
      <c r="J677" s="1">
        <f>[2]Other_transformation!F31</f>
        <v>1.4923745943551816</v>
      </c>
      <c r="K677" s="1">
        <f>[2]Other_transformation!G31</f>
        <v>1.5725063014673428</v>
      </c>
      <c r="L677" s="1">
        <f>[2]Other_transformation!H31</f>
        <v>1.5427422486026849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7.3349719996056804E-3</v>
      </c>
      <c r="G679" s="3">
        <f t="shared" ref="G679:K679" si="722">SUM(G680,G684,G686,G695)</f>
        <v>2.9548521685575584E-2</v>
      </c>
      <c r="H679" s="3">
        <f t="shared" si="722"/>
        <v>3.0094103811861984E-2</v>
      </c>
      <c r="I679" s="3">
        <f t="shared" si="722"/>
        <v>0.13868002671038823</v>
      </c>
      <c r="J679" s="3">
        <f t="shared" si="722"/>
        <v>12.357605354394021</v>
      </c>
      <c r="K679" s="3">
        <f t="shared" si="722"/>
        <v>36.668295859926886</v>
      </c>
      <c r="L679" s="3">
        <f t="shared" ref="L679" si="723">SUM(L680,L684,L686,L695)</f>
        <v>43.404469581373384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7.3349719996056804E-3</v>
      </c>
      <c r="G680" s="1">
        <f t="shared" ref="G680:K680" si="724">SUM(G681:G683)</f>
        <v>2.9548521685575584E-2</v>
      </c>
      <c r="H680" s="1">
        <f t="shared" si="724"/>
        <v>3.0094103811861984E-2</v>
      </c>
      <c r="I680" s="1">
        <f t="shared" si="724"/>
        <v>0.12384626279893661</v>
      </c>
      <c r="J680" s="1">
        <f t="shared" si="724"/>
        <v>9.8703143638020521</v>
      </c>
      <c r="K680" s="1">
        <f t="shared" si="724"/>
        <v>34.034982579682939</v>
      </c>
      <c r="L680" s="1">
        <f t="shared" ref="L680" si="725">SUM(L681:L683)</f>
        <v>40.823796787134768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7.3349719996056804E-3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2.9548521685575584E-2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3.0094103811861984E-2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0.12366651050639943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9.8684274850110629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21.029510250869368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27.823206162427468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1.7975229253718033E-4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1.8868787909898073E-3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12.922022969701372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12.922018623802934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8.34493591121995E-2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7.8572000904368403E-2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1.2469444465041304E-2</v>
      </c>
      <c r="L684" s="1">
        <f t="shared" si="732"/>
        <v>8.7302223227075926E-3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1.2469444465041304E-2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8.7302223227075926E-3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7.0549091143773195E-4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3.0158584436542479E-4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4.0390506707230721E-4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7.0549091143773195E-4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3.0158584436542479E-4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4.0390506707230721E-4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1.483376391145161E-2</v>
      </c>
      <c r="J695" s="1">
        <f t="shared" si="746"/>
        <v>2.4872909905919687</v>
      </c>
      <c r="K695" s="1">
        <f t="shared" si="746"/>
        <v>2.6208438357789055</v>
      </c>
      <c r="L695" s="1">
        <f t="shared" ref="L695" si="747">SUM(L696:L697)</f>
        <v>2.5712370810044756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1.483376391145161E-2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2.4872909905919687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2.6208438357789055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2.5712370810044756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0.68500000000000016</v>
      </c>
      <c r="G699" s="4">
        <f t="shared" ref="G699:K699" si="749">IFERROR(G664/G681,"-")</f>
        <v>0.69399999999999951</v>
      </c>
      <c r="H699" s="4">
        <f t="shared" si="749"/>
        <v>0.70749999999999991</v>
      </c>
      <c r="I699" s="4">
        <f t="shared" si="749"/>
        <v>0.73</v>
      </c>
      <c r="J699" s="4">
        <f t="shared" si="749"/>
        <v>0.75250000000000072</v>
      </c>
      <c r="K699" s="4">
        <f t="shared" si="749"/>
        <v>0.77499999999999991</v>
      </c>
      <c r="L699" s="4">
        <f t="shared" ref="L699" si="750">IFERROR(L664/L681,"-")</f>
        <v>0.81999999999999962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0.72999999999999943</v>
      </c>
      <c r="J700" s="4">
        <f t="shared" si="752"/>
        <v>0.7524999999999995</v>
      </c>
      <c r="K700" s="4">
        <f t="shared" si="752"/>
        <v>0.77499999999999936</v>
      </c>
      <c r="L700" s="4">
        <f t="shared" ref="L700" si="753">IFERROR(L665/L682,"-")</f>
        <v>0.81999999999999973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0.87</v>
      </c>
      <c r="L701" s="4">
        <f t="shared" ref="L701" si="755">IFERROR(L666/SUM(L683,L685),"-")</f>
        <v>0.90000000000000013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0.75999999999999945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0.69000000000000006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>
        <f t="shared" si="759"/>
        <v>0.59999999999999964</v>
      </c>
      <c r="J704" s="4">
        <f t="shared" si="759"/>
        <v>0.6000000000000002</v>
      </c>
      <c r="K704" s="4">
        <f t="shared" si="759"/>
        <v>0.59999999999999987</v>
      </c>
      <c r="L704" s="4">
        <f t="shared" ref="L704" si="760">IFERROR(L677/L696,"-")</f>
        <v>0.59999999999999987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1.176538351110521</v>
      </c>
      <c r="G706" s="1">
        <f>[1]Other_transformation!C$39</f>
        <v>4.0703958725878522</v>
      </c>
      <c r="H706" s="1">
        <f>[1]Other_transformation!D$39</f>
        <v>4.0703871199199924</v>
      </c>
      <c r="I706" s="1">
        <f>[1]Other_transformation!E$39</f>
        <v>4.0711611860050017</v>
      </c>
      <c r="J706" s="1">
        <f>[2]Other_transformation!F$39</f>
        <v>3.9274671311010505</v>
      </c>
      <c r="K706" s="1">
        <f>[2]Other_transformation!G$39</f>
        <v>10.537383919249441</v>
      </c>
      <c r="L706" s="1">
        <f>[2]Other_transformation!H$39</f>
        <v>11.541115582705356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1.2891444077490366</v>
      </c>
      <c r="G707" s="1">
        <f>[1]Other_transformation!C$38</f>
        <v>4.4599719775547415</v>
      </c>
      <c r="H707" s="1">
        <f>[1]Other_transformation!D$38</f>
        <v>4.4599623871722374</v>
      </c>
      <c r="I707" s="1">
        <f>[1]Other_transformation!E$38</f>
        <v>4.4608105388400263</v>
      </c>
      <c r="J707" s="1">
        <f>[2]Other_transformation!F$38</f>
        <v>4.3033635783296775</v>
      </c>
      <c r="K707" s="1">
        <f>[2]Other_transformation!G$38</f>
        <v>11.545913092406241</v>
      </c>
      <c r="L707" s="1">
        <f>[2]Other_transformation!H$38</f>
        <v>12.645711547427705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0.91265054871925788</v>
      </c>
      <c r="G708" s="14">
        <f t="shared" si="762"/>
        <v>0.91265054871925866</v>
      </c>
      <c r="H708" s="14">
        <f t="shared" si="762"/>
        <v>0.91265054871925755</v>
      </c>
      <c r="I708" s="14">
        <f t="shared" si="762"/>
        <v>0.91265054871925855</v>
      </c>
      <c r="J708" s="14">
        <f t="shared" si="762"/>
        <v>0.91265054871925821</v>
      </c>
      <c r="K708" s="14">
        <f t="shared" si="762"/>
        <v>0.91265054871925977</v>
      </c>
      <c r="L708" s="14">
        <f t="shared" ref="L708" si="763">L706/L707</f>
        <v>0.91265054871925821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5.9801770754977683</v>
      </c>
      <c r="G709" s="17" cm="1">
        <f t="array" ref="G709">SUMPRODUCT(("CT_CWODPLT"=[1]OUT_SyntheticFuels!$C$4:$C$1000)*1,("Var_Fout"=[1]OUT_SyntheticFuels!$B$4:$B$1000)*1,[1]OUT_SyntheticFuels!F$4:F$1000)</f>
        <v>6.9699292907550641</v>
      </c>
      <c r="H709" s="17" cm="1">
        <f t="array" ref="H709">SUMPRODUCT(("CT_CWODPLT"=[1]OUT_SyntheticFuels!$C$4:$C$1000)*1,("Var_Fout"=[1]OUT_SyntheticFuels!$B$4:$B$1000)*1,[1]OUT_SyntheticFuels!G$4:G$1000)</f>
        <v>1.9397783386415819</v>
      </c>
      <c r="I709" s="17" cm="1">
        <f t="array" ref="I709">SUMPRODUCT(("CT_CWODPLT"=[1]OUT_SyntheticFuels!$C$4:$C$1000)*1,("Var_Fout"=[1]OUT_SyntheticFuels!$B$4:$B$1000)*1,[1]OUT_SyntheticFuels!H$4:H$1000)</f>
        <v>2.276388359084228</v>
      </c>
      <c r="J709" s="17" cm="1">
        <f t="array" ref="J709">SUMPRODUCT(("CT_CWODPLT"=[2]OUT_SyntheticFuels!$C$4:$C$1000)*1,("Var_Fout"=[2]OUT_SyntheticFuels!$B$4:$B$1000)*1,[2]OUT_SyntheticFuels!I$4:I$1000)</f>
        <v>2.3828157493235436</v>
      </c>
      <c r="K709" s="17" cm="1">
        <f t="array" ref="K709">SUMPRODUCT(("CT_CWODPLT"=[2]OUT_SyntheticFuels!$C$4:$C$1000)*1,("Var_Fout"=[2]OUT_SyntheticFuels!$B$4:$B$1000)*1,[2]OUT_SyntheticFuels!J$4:J$1000)</f>
        <v>2.6726628788788318</v>
      </c>
      <c r="L709" s="17" cm="1">
        <f t="array" ref="L709">SUMPRODUCT(("CT_CWODPLT"=[2]OUT_SyntheticFuels!$C$4:$C$1000)*1,("Var_Fout"=[2]OUT_SyntheticFuels!$B$4:$B$1000)*1,[2]OUT_SyntheticFuels!K$4:K$1000)</f>
        <v>2.6192718674057742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5.9801770754977683</v>
      </c>
      <c r="G710" s="18">
        <f t="shared" ref="G710:K710" si="764">G709</f>
        <v>6.9699292907550641</v>
      </c>
      <c r="H710" s="18">
        <f t="shared" si="764"/>
        <v>1.9397783386415819</v>
      </c>
      <c r="I710" s="18">
        <f t="shared" si="764"/>
        <v>2.276388359084228</v>
      </c>
      <c r="J710" s="18">
        <f t="shared" si="764"/>
        <v>2.3828157493235436</v>
      </c>
      <c r="K710" s="18">
        <f t="shared" si="764"/>
        <v>2.6726628788788318</v>
      </c>
      <c r="L710" s="18">
        <f t="shared" ref="L710" si="765">L709</f>
        <v>2.6192718674057742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7.1192584232116349</v>
      </c>
      <c r="G711" s="17" cm="1">
        <f t="array" ref="G711">SUMPRODUCT(("CT_CWODPLT"=[1]OUT_SyntheticFuels!$C$4:$C$1000)*1,("Var_Fin"=[1]OUT_SyntheticFuels!$B$4:$B$1000)*1,[1]OUT_SyntheticFuels!F$4:F$1000)</f>
        <v>8.2975348699465012</v>
      </c>
      <c r="H711" s="17" cm="1">
        <f t="array" ref="H711">SUMPRODUCT(("CT_CWODPLT"=[1]OUT_SyntheticFuels!$C$4:$C$1000)*1,("Var_Fin"=[1]OUT_SyntheticFuels!$B$4:$B$1000)*1,[1]OUT_SyntheticFuels!G$4:G$1000)</f>
        <v>2.3092599269542635</v>
      </c>
      <c r="I711" s="17" cm="1">
        <f t="array" ref="I711">SUMPRODUCT(("CT_CWODPLT"=[1]OUT_SyntheticFuels!$C$4:$C$1000)*1,("Var_Fin"=[1]OUT_SyntheticFuels!$B$4:$B$1000)*1,[1]OUT_SyntheticFuels!H$4:H$1000)</f>
        <v>2.7099861417669389</v>
      </c>
      <c r="J711" s="17" cm="1">
        <f t="array" ref="J711">SUMPRODUCT(("CT_CWODPLT"=[2]OUT_SyntheticFuels!$C$4:$C$1000)*1,("Var_Fin"=[2]OUT_SyntheticFuels!$B$4:$B$1000)*1,[2]OUT_SyntheticFuels!I$4:I$1000)</f>
        <v>2.8366854158613628</v>
      </c>
      <c r="K711" s="17" cm="1">
        <f t="array" ref="K711">SUMPRODUCT(("CT_CWODPLT"=[2]OUT_SyntheticFuels!$C$4:$C$1000)*1,("Var_Fin"=[2]OUT_SyntheticFuels!$B$4:$B$1000)*1,[2]OUT_SyntheticFuels!J$4:J$1000)</f>
        <v>3.1817415224748</v>
      </c>
      <c r="L711" s="17" cm="1">
        <f t="array" ref="L711">SUMPRODUCT(("CT_CWODPLT"=[2]OUT_SyntheticFuels!$C$4:$C$1000)*1,("Var_Fin"=[2]OUT_SyntheticFuels!$B$4:$B$1000)*1,[2]OUT_SyntheticFuels!K$4:K$1000)</f>
        <v>3.1181807945306863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7.1192584232116349</v>
      </c>
      <c r="G712" s="18">
        <f t="shared" si="766"/>
        <v>8.2975348699465012</v>
      </c>
      <c r="H712" s="18">
        <f t="shared" si="766"/>
        <v>2.3092599269542635</v>
      </c>
      <c r="I712" s="18">
        <f t="shared" si="766"/>
        <v>2.7099861417669389</v>
      </c>
      <c r="J712" s="18">
        <f t="shared" si="766"/>
        <v>2.8366854158613628</v>
      </c>
      <c r="K712" s="18">
        <f t="shared" si="766"/>
        <v>3.1817415224748</v>
      </c>
      <c r="L712" s="18">
        <f t="shared" ref="L712" si="767">L711</f>
        <v>3.1181807945306863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0.8399999999999993</v>
      </c>
      <c r="G713" s="14">
        <f t="shared" si="768"/>
        <v>0.84000000000000041</v>
      </c>
      <c r="H713" s="14">
        <f t="shared" si="768"/>
        <v>0.84000000000000019</v>
      </c>
      <c r="I713" s="14">
        <f t="shared" si="768"/>
        <v>0.83999999999999975</v>
      </c>
      <c r="J713" s="14">
        <f t="shared" si="768"/>
        <v>0.83999999999999964</v>
      </c>
      <c r="K713" s="14">
        <f t="shared" si="768"/>
        <v>0.84</v>
      </c>
      <c r="L713" s="14">
        <f t="shared" ref="L713" si="769">IFERROR(L709/L711,"-")</f>
        <v>0.8399999999999993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13.479068815161408</v>
      </c>
      <c r="L714" s="17">
        <f t="shared" ref="L714" si="771">L715+L717</f>
        <v>18.051728213282175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12.781687669483125</v>
      </c>
      <c r="L715" s="18">
        <f t="shared" si="772"/>
        <v>15.857082165476539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12.781687669483125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15.857082165476539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0.6973811456782838</v>
      </c>
      <c r="L717" s="18">
        <f t="shared" ref="L717" si="775">SUM(L718:L720)</f>
        <v>2.1946460478056373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2.9526935802981964E-3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1.4522702432714278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0.69407695482256615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0.74237580453420926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3.5149727541952186E-4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17.59836710496419</v>
      </c>
      <c r="L721" s="17">
        <f t="shared" si="777"/>
        <v>24.158065385772829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17.59836710496419</v>
      </c>
      <c r="L722" s="18">
        <f t="shared" ref="L722" si="780">SUM(L723,L725)</f>
        <v>24.158065385772829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16.599594375952123</v>
      </c>
      <c r="L723" s="18">
        <f t="shared" si="782"/>
        <v>20.59361320191762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16.599594375952123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20.59361320191762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0.99877272901206826</v>
      </c>
      <c r="L725" s="18">
        <f t="shared" ref="L725" si="784">SUM(L726:L728)</f>
        <v>3.5644521838552086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6.464651151475263E-3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2.5039153202349071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0.99153850688938117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1.0605368636203014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7.6957097121190237E-4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0.76999999999999946</v>
      </c>
      <c r="L730" s="14">
        <f t="shared" ref="L730" si="787">IFERROR(L716/L724,"-")</f>
        <v>0.76999999999999869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0.45674445706546413</v>
      </c>
      <c r="L731" s="16">
        <f t="shared" ref="L731" si="790">IFERROR(L718/L726,"-")</f>
        <v>0.5799997434159162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0.69999999999999929</v>
      </c>
      <c r="L732" s="16">
        <f t="shared" ref="L732" si="792">IFERROR(L719/L727,"-")</f>
        <v>0.6999999999999984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0.45674445706546357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0.77241761954407795</v>
      </c>
      <c r="L734" s="17">
        <f t="shared" si="799"/>
        <v>1.0555782244319691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0.77241761954407795</v>
      </c>
      <c r="L735" s="18">
        <f t="shared" si="804"/>
        <v>1.0555782244319691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0.6277196972395529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0.14469446287029983</v>
      </c>
      <c r="L737" s="18">
        <f>IFERROR(L735-L736-L738,0)</f>
        <v>1.0555782244319691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3.459434225228888E-6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0.7208871845588487</v>
      </c>
      <c r="L739" s="18">
        <f t="shared" si="810"/>
        <v>0.89433943413287742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0.7208871845588487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0.89433943413287742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5.1530434985229259E-2</v>
      </c>
      <c r="L741" s="18">
        <f t="shared" si="817"/>
        <v>0.16123879029909163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2.7483817905381996E-4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0.10645145592446699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5.1222879265905338E-2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5.4787334374624651E-2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3.2717540270102885E-5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0.58584252065903508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0.58584252065903508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4.1877176580517803E-2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2.2335241219298595E-4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4.1627235644250381E-2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2.6588524074443246E-5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0.1350414352554434</v>
      </c>
      <c r="L751" s="18">
        <f t="shared" ref="L751" si="833">IFERROR(L$737/L$735,0)*L739</f>
        <v>0.89433943413287742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0.1350414352554434</v>
      </c>
      <c r="L752" s="18">
        <f t="shared" ref="L752" si="835">IFERROR(L$737/L$735,0)*L740</f>
        <v>0.89433943413287742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9.6530276148564329E-3</v>
      </c>
      <c r="L753" s="18">
        <f t="shared" ref="L753" si="839">IFERROR(L$737/L$735,0)*L741</f>
        <v>0.16123879029909163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5.1484535940436863E-5</v>
      </c>
      <c r="L754" s="18">
        <f t="shared" ref="L754" si="841">IFERROR(L$737/L$735,0)*L742</f>
        <v>0.10645145592446699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9.5954142092526985E-3</v>
      </c>
      <c r="L755" s="18">
        <f t="shared" ref="L755" si="843">IFERROR(L$737/L$735,0)*L743</f>
        <v>5.4787334374624651E-2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6.1288696632972049E-6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3.2286443702097128E-6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3.2286443702097128E-6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2.3078985501917518E-7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1.2309203971545519E-9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2.2941240225958888E-7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1.4653236243174469E-10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142.22068285386743</v>
      </c>
      <c r="G763" s="17">
        <f t="shared" si="862"/>
        <v>142.43487060158498</v>
      </c>
      <c r="H763" s="17">
        <f t="shared" si="862"/>
        <v>147.51305415580941</v>
      </c>
      <c r="I763" s="17">
        <f t="shared" si="862"/>
        <v>148.41977227486933</v>
      </c>
      <c r="J763" s="17">
        <f t="shared" si="862"/>
        <v>148.1657182780018</v>
      </c>
      <c r="K763" s="17">
        <f t="shared" si="862"/>
        <v>133.05718806274143</v>
      </c>
      <c r="L763" s="17">
        <f t="shared" ref="L763" si="863">L764+L768+L778+L789+L791+L803+L805+L807+L811+L813+L815</f>
        <v>136.05232949422526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60.070598110756912</v>
      </c>
      <c r="G764" s="18">
        <f>[1]Industry!C$11</f>
        <v>61.543511991580971</v>
      </c>
      <c r="H764" s="18">
        <f>[1]Industry!D$11</f>
        <v>64.989528642358223</v>
      </c>
      <c r="I764" s="18">
        <f>[1]Industry!E$11</f>
        <v>70.551150173109392</v>
      </c>
      <c r="J764" s="18">
        <f>[2]Industry!F$11</f>
        <v>71.587753930641753</v>
      </c>
      <c r="K764" s="18">
        <f>[2]Industry!G$11</f>
        <v>68.796718782583724</v>
      </c>
      <c r="L764" s="18">
        <f>[2]Industry!H$11</f>
        <v>72.960545367344665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11.647261143137953</v>
      </c>
      <c r="G765" s="1">
        <f t="shared" si="865"/>
        <v>12.259033789444956</v>
      </c>
      <c r="H765" s="1">
        <f t="shared" si="865"/>
        <v>12.559846957037372</v>
      </c>
      <c r="I765" s="1">
        <f t="shared" si="865"/>
        <v>15.762662326249718</v>
      </c>
      <c r="J765" s="1">
        <f t="shared" si="865"/>
        <v>14.563683829246834</v>
      </c>
      <c r="K765" s="1">
        <f>K764-K766-K767</f>
        <v>14.54447052977001</v>
      </c>
      <c r="L765" s="1">
        <f>L764-L766-L767</f>
        <v>14.506200056307577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0.35993931544795071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0.45111663226873028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0.8233330057928927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1.910132472519898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2.5771236083600746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2.8868891905167477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3.8351404139233498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48.833361569867286</v>
      </c>
      <c r="H767" s="1">
        <f>[1]Industry!D$11-[1]Industry!D$33</f>
        <v>51.606348679527962</v>
      </c>
      <c r="I767" s="1">
        <f>[1]Industry!E$11-[1]Industry!E$33</f>
        <v>52.878355374339769</v>
      </c>
      <c r="J767" s="1">
        <f>[2]Industry!F$11-[2]Industry!F$33</f>
        <v>54.446946493034851</v>
      </c>
      <c r="K767" s="1">
        <f>[2]Industry!G$11-[2]Industry!G$33</f>
        <v>51.36535906229696</v>
      </c>
      <c r="L767" s="1">
        <f>[2]Industry!H$11-[2]Industry!H$33</f>
        <v>54.619204897113732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11.628220477877354</v>
      </c>
      <c r="G768" s="1">
        <f t="shared" ref="G768:K768" si="866">SUM(G771,G776)</f>
        <v>10.840080342452087</v>
      </c>
      <c r="H768" s="1">
        <f t="shared" si="866"/>
        <v>8.3047920658197221</v>
      </c>
      <c r="I768" s="1">
        <f t="shared" si="866"/>
        <v>6.689248785068922</v>
      </c>
      <c r="J768" s="1">
        <f t="shared" si="866"/>
        <v>5.0613404225055989</v>
      </c>
      <c r="K768" s="1">
        <f t="shared" si="866"/>
        <v>3.0263599926935587</v>
      </c>
      <c r="L768" s="1">
        <f t="shared" ref="L768" si="867">SUM(L771,L776)</f>
        <v>0.23118895916324353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8.8980668457453493</v>
      </c>
      <c r="G769" s="1">
        <f t="shared" ref="G769:K769" si="868">SUM(G773,G777)</f>
        <v>8.1218811327210911</v>
      </c>
      <c r="H769" s="1">
        <f t="shared" si="868"/>
        <v>8.257322088845136</v>
      </c>
      <c r="I769" s="1">
        <f t="shared" si="868"/>
        <v>6.6847043840037541</v>
      </c>
      <c r="J769" s="1">
        <f t="shared" si="868"/>
        <v>5.0543440917589511</v>
      </c>
      <c r="K769" s="1">
        <f t="shared" si="868"/>
        <v>3.0258743671664461</v>
      </c>
      <c r="L769" s="1">
        <f t="shared" ref="L769" si="869">SUM(L773,L777)</f>
        <v>0.23118895916324353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2.7301536321320046</v>
      </c>
      <c r="G770" s="1">
        <f t="shared" ref="G770:K770" si="870">G775</f>
        <v>2.7181992097309959</v>
      </c>
      <c r="H770" s="1">
        <f t="shared" si="870"/>
        <v>4.7469976974586547E-2</v>
      </c>
      <c r="I770" s="1">
        <f t="shared" si="870"/>
        <v>4.5444010651676508E-3</v>
      </c>
      <c r="J770" s="1">
        <f t="shared" si="870"/>
        <v>6.9963307466474464E-3</v>
      </c>
      <c r="K770" s="1">
        <f t="shared" si="870"/>
        <v>4.8562552711252805E-4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11.628220477877354</v>
      </c>
      <c r="G771" s="1">
        <f t="shared" ref="G771:K771" si="872">SUM(G772,G774)</f>
        <v>10.840080342452087</v>
      </c>
      <c r="H771" s="1">
        <f t="shared" si="872"/>
        <v>8.303833561071329</v>
      </c>
      <c r="I771" s="1">
        <f t="shared" si="872"/>
        <v>6.4735878261003075</v>
      </c>
      <c r="J771" s="1">
        <f t="shared" si="872"/>
        <v>5.0432780405764319</v>
      </c>
      <c r="K771" s="1">
        <f t="shared" si="872"/>
        <v>3.0060246903693137</v>
      </c>
      <c r="L771" s="1">
        <f t="shared" ref="L771" si="873">SUM(L772,L774)</f>
        <v>1.2298135976118013E-5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8.8980668457453493</v>
      </c>
      <c r="G772" s="1">
        <f>[1]Industry!C$34</f>
        <v>8.1218811327210911</v>
      </c>
      <c r="H772" s="1">
        <f>[1]Industry!D$34</f>
        <v>8.2563635840967429</v>
      </c>
      <c r="I772" s="1">
        <f>[1]Industry!E$34</f>
        <v>6.4690434250351396</v>
      </c>
      <c r="J772" s="1">
        <f>[2]Industry!F$34</f>
        <v>5.0362817098297841</v>
      </c>
      <c r="K772" s="1">
        <f>[2]Industry!G$34</f>
        <v>3.0055390648422011</v>
      </c>
      <c r="L772" s="1">
        <f>[2]Industry!H$34</f>
        <v>1.2298135976118013E-5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8.8980668457453493</v>
      </c>
      <c r="G773" s="1">
        <f t="shared" ref="G773:K773" si="874">G772</f>
        <v>8.1218811327210911</v>
      </c>
      <c r="H773" s="1">
        <f t="shared" si="874"/>
        <v>8.2563635840967429</v>
      </c>
      <c r="I773" s="1">
        <f t="shared" si="874"/>
        <v>6.4690434250351396</v>
      </c>
      <c r="J773" s="1">
        <f t="shared" si="874"/>
        <v>5.0362817098297841</v>
      </c>
      <c r="K773" s="1">
        <f t="shared" si="874"/>
        <v>3.0055390648422011</v>
      </c>
      <c r="L773" s="1">
        <f t="shared" ref="L773" si="875">L772</f>
        <v>1.2298135976118013E-5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2.7301536321320046</v>
      </c>
      <c r="G774" s="1">
        <f>[1]Industry!C$35</f>
        <v>2.7181992097309959</v>
      </c>
      <c r="H774" s="1">
        <f>[1]Industry!D$35</f>
        <v>4.7469976974586547E-2</v>
      </c>
      <c r="I774" s="1">
        <f>[1]Industry!E$35</f>
        <v>4.5444010651676508E-3</v>
      </c>
      <c r="J774" s="1">
        <f>[2]Industry!F$35</f>
        <v>6.9963307466474464E-3</v>
      </c>
      <c r="K774" s="1">
        <f>[2]Industry!G$35</f>
        <v>4.8562552711252805E-4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2.7301536321320046</v>
      </c>
      <c r="G775" s="1">
        <f t="shared" ref="G775:K775" si="876">G774</f>
        <v>2.7181992097309959</v>
      </c>
      <c r="H775" s="1">
        <f t="shared" si="876"/>
        <v>4.7469976974586547E-2</v>
      </c>
      <c r="I775" s="1">
        <f t="shared" si="876"/>
        <v>4.5444010651676508E-3</v>
      </c>
      <c r="J775" s="1">
        <f t="shared" si="876"/>
        <v>6.9963307466474464E-3</v>
      </c>
      <c r="K775" s="1">
        <f t="shared" si="876"/>
        <v>4.8562552711252805E-4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9.5850474839326251E-4</v>
      </c>
      <c r="I776" s="1">
        <f>[1]Industry!E$36</f>
        <v>0.2156609589686147</v>
      </c>
      <c r="J776" s="1">
        <f>[2]Industry!F$36</f>
        <v>1.8062381929167416E-2</v>
      </c>
      <c r="K776" s="1">
        <f>[2]Industry!G$36</f>
        <v>2.0335302324245009E-2</v>
      </c>
      <c r="L776" s="1">
        <f>[2]Industry!H$36</f>
        <v>0.23117666102726742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9.5850474839326251E-4</v>
      </c>
      <c r="I777" s="1">
        <f t="shared" si="878"/>
        <v>0.2156609589686147</v>
      </c>
      <c r="J777" s="1">
        <f t="shared" si="878"/>
        <v>1.8062381929167416E-2</v>
      </c>
      <c r="K777" s="1">
        <f t="shared" si="878"/>
        <v>2.0335302324245009E-2</v>
      </c>
      <c r="L777" s="1">
        <f t="shared" ref="L777" si="879">L776</f>
        <v>0.23117666102726742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35.989351864259419</v>
      </c>
      <c r="G778" s="1">
        <f>SUM([1]Industry!C$37:C$39)</f>
        <v>32.483852740047823</v>
      </c>
      <c r="H778" s="1">
        <f>SUM([1]Industry!D$37:D$39)</f>
        <v>36.473765366656281</v>
      </c>
      <c r="I778" s="1">
        <f>SUM([1]Industry!E$37:E$39)</f>
        <v>26.088671323493799</v>
      </c>
      <c r="J778" s="1">
        <f>SUM([2]Industry!F$37:F$39)</f>
        <v>15.555075856358972</v>
      </c>
      <c r="K778" s="1">
        <f>SUM([2]Industry!G$37:G$39)</f>
        <v>10.091266947528483</v>
      </c>
      <c r="L778" s="1">
        <f>SUM([2]Industry!H$37:H$39)</f>
        <v>6.9516520705660856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35.523451979456425</v>
      </c>
      <c r="G779" s="1">
        <f>SUM([1]Industry!C$37:C$38)-G780</f>
        <v>31.916167076306184</v>
      </c>
      <c r="H779" s="1">
        <f>SUM([1]Industry!D$37:D$38)-H780</f>
        <v>34.860140051992964</v>
      </c>
      <c r="I779" s="1">
        <f>SUM([1]Industry!E$37:E$38)-I780</f>
        <v>22.941073624026416</v>
      </c>
      <c r="J779" s="1">
        <f>SUM([2]Industry!F$37:F$38)-J780</f>
        <v>10.686913926135897</v>
      </c>
      <c r="K779" s="1">
        <f>SUM([2]Industry!G$37:G$38)-K780</f>
        <v>5.2230999674632095</v>
      </c>
      <c r="L779" s="1">
        <f>SUM([2]Industry!H$37:H$38)-L780</f>
        <v>1.1596230763209685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2.9028968769227743E-2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1.5547552931601278E-2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9.3371982356823587E-3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0.46589988480299382</v>
      </c>
      <c r="G781" s="1">
        <f t="shared" si="884"/>
        <v>0.56768566374163854</v>
      </c>
      <c r="H781" s="1">
        <f t="shared" si="884"/>
        <v>1.6136253146633166</v>
      </c>
      <c r="I781" s="1">
        <f t="shared" si="884"/>
        <v>3.1475976994673829</v>
      </c>
      <c r="J781" s="1">
        <f t="shared" si="884"/>
        <v>4.8681619302230743</v>
      </c>
      <c r="K781" s="1">
        <f t="shared" si="884"/>
        <v>4.8681669800652738</v>
      </c>
      <c r="L781" s="1">
        <f t="shared" ref="L781" si="885">L778-L779</f>
        <v>5.7920289942451166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35.25330344369997</v>
      </c>
      <c r="G782" s="1">
        <f>[1]Industry!C$37</f>
        <v>31.928365904344549</v>
      </c>
      <c r="H782" s="1">
        <f>[1]Industry!D$37</f>
        <v>32.590128059217399</v>
      </c>
      <c r="I782" s="1">
        <f>[1]Industry!E$37</f>
        <v>20.588419595815022</v>
      </c>
      <c r="J782" s="1">
        <f>[2]Industry!F$37</f>
        <v>8.6675313654586024</v>
      </c>
      <c r="K782" s="1">
        <f>[2]Industry!G$37</f>
        <v>3.0695249173124042</v>
      </c>
      <c r="L782" s="1">
        <f>[2]Industry!H$37</f>
        <v>0.44858678229359261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35.224518756460576</v>
      </c>
      <c r="G783" s="1">
        <f>[1]Industry!C$37*G779/SUM(G779:G780)</f>
        <v>31.912819981907212</v>
      </c>
      <c r="H783" s="1">
        <f>[1]Industry!D$37*H779/SUM(H779:H780)</f>
        <v>32.581401215277886</v>
      </c>
      <c r="I783" s="1">
        <f>[1]Industry!E$37*I779/SUM(I779:I780)</f>
        <v>20.588419595815022</v>
      </c>
      <c r="J783" s="1">
        <f>[2]Industry!F$37*J779/SUM(J779:J780)</f>
        <v>8.6675313654586024</v>
      </c>
      <c r="K783" s="1">
        <f>[2]Industry!G$37*K779/SUM(K779:K780)</f>
        <v>3.0695249173124042</v>
      </c>
      <c r="L783" s="1">
        <f>[2]Industry!H$37*L779/SUM(L779:L780)</f>
        <v>0.44858678229359261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2.8784687239394202E-2</v>
      </c>
      <c r="G784" s="1">
        <f t="shared" ref="G784:K784" si="890">G782-G783</f>
        <v>1.5545922437336657E-2</v>
      </c>
      <c r="H784" s="1">
        <f t="shared" si="890"/>
        <v>8.7268439395131736E-3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0.73604842055944864</v>
      </c>
      <c r="G785" s="1">
        <f t="shared" ref="G785:K785" si="892">SUM(G786:G788)</f>
        <v>0.55548683570327295</v>
      </c>
      <c r="H785" s="1">
        <f t="shared" si="892"/>
        <v>3.883637307438879</v>
      </c>
      <c r="I785" s="1">
        <f t="shared" si="892"/>
        <v>5.5002517276787781</v>
      </c>
      <c r="J785" s="1">
        <f t="shared" si="892"/>
        <v>6.8875444909003694</v>
      </c>
      <c r="K785" s="1">
        <f t="shared" si="892"/>
        <v>7.0217420302160791</v>
      </c>
      <c r="L785" s="1">
        <f t="shared" ref="L785" si="893">SUM(L786:L788)</f>
        <v>6.5030652882724924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0.29893322299585012</v>
      </c>
      <c r="G786" s="1">
        <f>[1]Industry!C$38*G779/SUM(G779:G780)</f>
        <v>3.3470943989722278E-3</v>
      </c>
      <c r="H786" s="1">
        <f>[1]Industry!D$38*H779/SUM(H779:H780)</f>
        <v>2.2787388367150787</v>
      </c>
      <c r="I786" s="1">
        <f>[1]Industry!E$38*I779/SUM(I779:I780)</f>
        <v>2.3526540282113944</v>
      </c>
      <c r="J786" s="1">
        <f>[2]Industry!F$38*J779/SUM(J779:J780)</f>
        <v>2.0193825606772955</v>
      </c>
      <c r="K786" s="1">
        <f>[2]Industry!G$38*K779/SUM(K779:K780)</f>
        <v>2.1535750501508053</v>
      </c>
      <c r="L786" s="1">
        <f>[2]Industry!H$38*L779/SUM(L779:L780)</f>
        <v>0.71103629402737589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2.442815298313028E-4</v>
      </c>
      <c r="G787" s="1">
        <f>[1]Industry!C$38-G786</f>
        <v>1.6304942636333544E-6</v>
      </c>
      <c r="H787" s="1">
        <f>[1]Industry!D$38-H786</f>
        <v>6.1035429616795867E-4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0.43687091603376721</v>
      </c>
      <c r="G788" s="1">
        <f>[1]Industry!C$39</f>
        <v>0.55213811081003705</v>
      </c>
      <c r="H788" s="1">
        <f>[1]Industry!D$39</f>
        <v>1.6042881164276321</v>
      </c>
      <c r="I788" s="1">
        <f>[1]Industry!E$39</f>
        <v>3.1475976994673842</v>
      </c>
      <c r="J788" s="1">
        <f>[2]Industry!F$39</f>
        <v>4.8681619302230734</v>
      </c>
      <c r="K788" s="1">
        <f>[2]Industry!G$39</f>
        <v>4.8681669800652738</v>
      </c>
      <c r="L788" s="1">
        <f>[2]Industry!H$39</f>
        <v>5.7920289942451166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3.5601573608479287</v>
      </c>
      <c r="G789" s="1">
        <f>[1]Industry!C$18</f>
        <v>3.4647541095190793</v>
      </c>
      <c r="H789" s="1">
        <f>[1]Industry!D$18</f>
        <v>0.12899021100237884</v>
      </c>
      <c r="I789" s="1">
        <f>[1]Industry!E$18</f>
        <v>4.382933590500058E-3</v>
      </c>
      <c r="J789" s="1">
        <f>[2]Industry!F$18</f>
        <v>4.6511613424303957E-3</v>
      </c>
      <c r="K789" s="1">
        <f>[2]Industry!G$18</f>
        <v>5.0060000689233861E-4</v>
      </c>
      <c r="L789" s="1">
        <f>[2]Industry!H$18</f>
        <v>8.3094897354097788E-6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3.5601573608479287</v>
      </c>
      <c r="G790" s="1">
        <f t="shared" ref="G790:K790" si="896">G789</f>
        <v>3.4647541095190793</v>
      </c>
      <c r="H790" s="1">
        <f t="shared" si="896"/>
        <v>0.12899021100237884</v>
      </c>
      <c r="I790" s="1">
        <f t="shared" si="896"/>
        <v>4.382933590500058E-3</v>
      </c>
      <c r="J790" s="1">
        <f t="shared" si="896"/>
        <v>4.6511613424303957E-3</v>
      </c>
      <c r="K790" s="1">
        <f t="shared" si="896"/>
        <v>5.0060000689233861E-4</v>
      </c>
      <c r="L790" s="1">
        <f t="shared" ref="L790" si="897">L789</f>
        <v>8.3094897354097788E-6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12.729060467056971</v>
      </c>
      <c r="G791" s="1">
        <f>[1]Industry!C$19</f>
        <v>13.638637605412946</v>
      </c>
      <c r="H791" s="1">
        <f>[1]Industry!D$19</f>
        <v>13.954675063299224</v>
      </c>
      <c r="I791" s="1">
        <f>[1]Industry!E$19</f>
        <v>14.452189675714195</v>
      </c>
      <c r="J791" s="1">
        <f>[2]Industry!F$19</f>
        <v>15.37629760004682</v>
      </c>
      <c r="K791" s="1">
        <f>[2]Industry!G$19</f>
        <v>15.088816506287166</v>
      </c>
      <c r="L791" s="1">
        <f>[2]Industry!H$19</f>
        <v>19.028474533882296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4.4312650819680517</v>
      </c>
      <c r="G792" s="1">
        <f t="shared" ref="G792:K792" si="900">SUM(G793:G801)</f>
        <v>5.6289556451317022</v>
      </c>
      <c r="H792" s="1">
        <f t="shared" si="900"/>
        <v>5.6601880849007369</v>
      </c>
      <c r="I792" s="1">
        <f t="shared" si="900"/>
        <v>6.7799566358423231</v>
      </c>
      <c r="J792" s="1">
        <f t="shared" si="900"/>
        <v>7.7771379293893457</v>
      </c>
      <c r="K792" s="1">
        <f t="shared" si="900"/>
        <v>7.495204666419248</v>
      </c>
      <c r="L792" s="1">
        <f t="shared" ref="L792" si="901">SUM(L793:L801)</f>
        <v>9.974396424910223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0.9300285020017458</v>
      </c>
      <c r="G793" s="1">
        <f t="shared" ref="G793:K793" si="904">G235</f>
        <v>2.0129949751913112</v>
      </c>
      <c r="H793" s="1">
        <f t="shared" si="904"/>
        <v>1.3104198277838217</v>
      </c>
      <c r="I793" s="1">
        <f t="shared" si="904"/>
        <v>1.2420320861859517</v>
      </c>
      <c r="J793" s="1">
        <f t="shared" si="904"/>
        <v>0.82750682522961438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0.90562911982897554</v>
      </c>
      <c r="G794" s="1">
        <f t="shared" ref="G794:K794" si="906">G241</f>
        <v>0.24638617604288288</v>
      </c>
      <c r="H794" s="1">
        <f t="shared" si="906"/>
        <v>0.53893559510488798</v>
      </c>
      <c r="I794" s="1">
        <f t="shared" si="906"/>
        <v>5.9199724522254069E-2</v>
      </c>
      <c r="J794" s="1">
        <f t="shared" si="906"/>
        <v>1.0850979010509807</v>
      </c>
      <c r="K794" s="1">
        <f t="shared" si="906"/>
        <v>0.13156207161118541</v>
      </c>
      <c r="L794" s="1">
        <f t="shared" ref="L794" si="907">L241</f>
        <v>0.46868159880087695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5.5002583501221787E-2</v>
      </c>
      <c r="L795" s="1">
        <f t="shared" ref="L795" si="909">L242</f>
        <v>0.27101918977326772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0</v>
      </c>
      <c r="J796" s="1">
        <f t="shared" si="910"/>
        <v>1.5416342835396714E-3</v>
      </c>
      <c r="K796" s="1">
        <f t="shared" si="910"/>
        <v>1.9843646649955141E-3</v>
      </c>
      <c r="L796" s="1">
        <f t="shared" ref="L796" si="911">L243</f>
        <v>3.2760546174175666E-4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1.9356600170775753</v>
      </c>
      <c r="G797" s="1">
        <f t="shared" ref="G797:K797" si="912">G274</f>
        <v>1.9671878820404487</v>
      </c>
      <c r="H797" s="1">
        <f t="shared" si="912"/>
        <v>9.6382372040252254E-2</v>
      </c>
      <c r="I797" s="1">
        <f t="shared" si="912"/>
        <v>9.748796287784349E-2</v>
      </c>
      <c r="J797" s="1">
        <f t="shared" si="912"/>
        <v>1.3601058982172455E-2</v>
      </c>
      <c r="K797" s="1">
        <f t="shared" si="912"/>
        <v>5.7691025517179195E-3</v>
      </c>
      <c r="L797" s="1">
        <f t="shared" ref="L797" si="913">L274</f>
        <v>7.2908490211487376E-4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0.88779819436138885</v>
      </c>
      <c r="L798" s="1">
        <f t="shared" ref="L798" si="915">L275</f>
        <v>0.98917129656454983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0.65994744305975483</v>
      </c>
      <c r="G799" s="1">
        <f t="shared" ref="G799:K799" si="916">G283</f>
        <v>1.4023866118570587</v>
      </c>
      <c r="H799" s="1">
        <f t="shared" si="916"/>
        <v>3.7144502899717744</v>
      </c>
      <c r="I799" s="1">
        <f t="shared" si="916"/>
        <v>5.3812368622562738</v>
      </c>
      <c r="J799" s="1">
        <f t="shared" si="916"/>
        <v>5.8420581127175382</v>
      </c>
      <c r="K799" s="1">
        <f t="shared" si="916"/>
        <v>5.6634318740551874</v>
      </c>
      <c r="L799" s="1">
        <f t="shared" ref="L799" si="917">L283</f>
        <v>5.3337894255655476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0.64077006446309315</v>
      </c>
      <c r="L800" s="1">
        <f t="shared" ref="L800" si="919">L284</f>
        <v>2.826027333752628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0</v>
      </c>
      <c r="J801" s="1">
        <f t="shared" si="920"/>
        <v>7.3323971255002335E-3</v>
      </c>
      <c r="K801" s="1">
        <f t="shared" si="920"/>
        <v>0.10888641121045763</v>
      </c>
      <c r="L801" s="1">
        <f t="shared" ref="L801" si="921">L289</f>
        <v>8.4650890089496847E-2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7.1202094790041857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7.6289546232497099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7.6289456009858734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7.6290252733156585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7.6289065419846418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7.6286989826304969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8.3572603055292891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9.0021252205715907</v>
      </c>
      <c r="G803" s="1">
        <f t="shared" ref="G803:L803" si="922">G804</f>
        <v>10.610037471752165</v>
      </c>
      <c r="H803" s="1">
        <f t="shared" si="922"/>
        <v>10.146045449928391</v>
      </c>
      <c r="I803" s="1">
        <f t="shared" si="922"/>
        <v>11.818061845900582</v>
      </c>
      <c r="J803" s="1">
        <f t="shared" si="922"/>
        <v>12.670696673079265</v>
      </c>
      <c r="K803" s="1">
        <f t="shared" si="922"/>
        <v>8.8408286426623555</v>
      </c>
      <c r="L803" s="1">
        <f t="shared" si="922"/>
        <v>10.665739286980417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9.0021252205715907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10.610037471752165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10.146045449928391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11.818061845900582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12.670696673079265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8.8408286426623555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10.665739286980417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0.62589701661237407</v>
      </c>
      <c r="G805" s="1">
        <f t="shared" ref="G805:L805" si="924">G806</f>
        <v>0.73762225764574341</v>
      </c>
      <c r="H805" s="1">
        <f t="shared" si="924"/>
        <v>0.77787246306873914</v>
      </c>
      <c r="I805" s="1">
        <f t="shared" si="924"/>
        <v>0.80006448650634476</v>
      </c>
      <c r="J805" s="1">
        <f t="shared" si="924"/>
        <v>0.73555161156186222</v>
      </c>
      <c r="K805" s="1">
        <f t="shared" si="924"/>
        <v>0.73349979718073544</v>
      </c>
      <c r="L805" s="1">
        <f t="shared" si="924"/>
        <v>0.72946113660742307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0.62589701661237407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0.73762225764574341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0.77787246306873914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0.80006448650634476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0.73555161156186222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0.73349979718073544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0.72946113660742307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7.7981381713718525</v>
      </c>
      <c r="G807" s="1">
        <f>[1]Industry!C$21</f>
        <v>8.0809293328523033</v>
      </c>
      <c r="H807" s="1">
        <f>[1]Industry!D$21</f>
        <v>10.837298799724925</v>
      </c>
      <c r="I807" s="1">
        <f>[1]Industry!E$21</f>
        <v>11.462586022714868</v>
      </c>
      <c r="J807" s="1">
        <f>[2]Industry!F$21</f>
        <v>10.757857604867111</v>
      </c>
      <c r="K807" s="1">
        <f>[2]Industry!G$21</f>
        <v>8.4102890758587172</v>
      </c>
      <c r="L807" s="1">
        <f>[2]Industry!H$21</f>
        <v>5.4000052046021674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7.7981381713718525</v>
      </c>
      <c r="G808" s="1">
        <f t="shared" ref="G808:K808" si="926">G807</f>
        <v>8.0809293328523033</v>
      </c>
      <c r="H808" s="1">
        <f t="shared" si="926"/>
        <v>10.837298799724925</v>
      </c>
      <c r="I808" s="1">
        <f t="shared" si="926"/>
        <v>11.462586022714868</v>
      </c>
      <c r="J808" s="1">
        <f t="shared" si="926"/>
        <v>10.757857604867111</v>
      </c>
      <c r="K808" s="1">
        <f t="shared" si="926"/>
        <v>8.4102890758587172</v>
      </c>
      <c r="L808" s="1">
        <f t="shared" ref="L808" si="927">L807</f>
        <v>5.4000052046021674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7.7981381713718525</v>
      </c>
      <c r="G810" s="1">
        <f t="shared" ref="G810:K810" si="928">G808</f>
        <v>8.0809293328523033</v>
      </c>
      <c r="H810" s="1">
        <f t="shared" si="928"/>
        <v>10.837298799724925</v>
      </c>
      <c r="I810" s="1">
        <f t="shared" si="928"/>
        <v>11.462586022714868</v>
      </c>
      <c r="J810" s="1">
        <f t="shared" si="928"/>
        <v>10.757857604867111</v>
      </c>
      <c r="K810" s="1">
        <f t="shared" si="928"/>
        <v>8.4102890758587172</v>
      </c>
      <c r="L810" s="1">
        <f t="shared" ref="L810" si="929">L808</f>
        <v>5.4000052046021674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6.8107582252723106E-2</v>
      </c>
      <c r="G811" s="1">
        <f>[1]Industry!C$22</f>
        <v>8.5601774398449418E-2</v>
      </c>
      <c r="H811" s="1">
        <f>[1]Industry!D$22</f>
        <v>0.10204303950376965</v>
      </c>
      <c r="I811" s="1">
        <f>[1]Industry!E$22</f>
        <v>2.3313497198267528</v>
      </c>
      <c r="J811" s="1">
        <f>[2]Industry!F$22</f>
        <v>1.4396318767165821</v>
      </c>
      <c r="K811" s="1">
        <f>[2]Industry!G$22</f>
        <v>1.4015561220606163</v>
      </c>
      <c r="L811" s="1">
        <f>[2]Industry!H$22</f>
        <v>0.90942379760176173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6.8107582252723106E-2</v>
      </c>
      <c r="G812" s="1">
        <f t="shared" ref="G812:K812" si="932">G811</f>
        <v>8.5601774398449418E-2</v>
      </c>
      <c r="H812" s="1">
        <f t="shared" si="932"/>
        <v>0.10204303950376965</v>
      </c>
      <c r="I812" s="1">
        <f t="shared" si="932"/>
        <v>2.3313497198267528</v>
      </c>
      <c r="J812" s="1">
        <f t="shared" si="932"/>
        <v>1.4396318767165821</v>
      </c>
      <c r="K812" s="1">
        <f t="shared" si="932"/>
        <v>1.4015561220606163</v>
      </c>
      <c r="L812" s="1">
        <f t="shared" ref="L812" si="933">L811</f>
        <v>0.90942379760176173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9.1365998952243999</v>
      </c>
      <c r="K813" s="1">
        <f>[2]Industry!G$23</f>
        <v>9.9494258327019711</v>
      </c>
      <c r="L813" s="1">
        <f>[2]Industry!H$23</f>
        <v>9.7813851255157562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</v>
      </c>
      <c r="J814" s="1">
        <f t="shared" si="936"/>
        <v>9.1365998952243999</v>
      </c>
      <c r="K814" s="1">
        <f t="shared" si="936"/>
        <v>9.9494258327019711</v>
      </c>
      <c r="L814" s="1">
        <f t="shared" ref="L814" si="937">L813</f>
        <v>9.7813851255157562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0.74902658226029528</v>
      </c>
      <c r="G815" s="1">
        <f>[1]Industry!C$24</f>
        <v>0.94984297592340505</v>
      </c>
      <c r="H815" s="1">
        <f>[1]Industry!D$24</f>
        <v>1.7980430544477612</v>
      </c>
      <c r="I815" s="1">
        <f>[1]Industry!E$24</f>
        <v>4.2220673089439389</v>
      </c>
      <c r="J815" s="1">
        <f>[2]Industry!F$24</f>
        <v>5.8402616456569945</v>
      </c>
      <c r="K815" s="1">
        <f>[2]Industry!G$24</f>
        <v>6.7179257631772176</v>
      </c>
      <c r="L815" s="1">
        <f>[2]Industry!H$24</f>
        <v>9.3944457024717174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0.74902658226029528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0.94984297592340505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1.7638867475349058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4.2094862553583221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5.8375970444812681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6.7165010931507823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9.3935613241430254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3.4156306912855428E-2</v>
      </c>
      <c r="I817" s="1">
        <f t="shared" si="942"/>
        <v>1.2581053585616786E-2</v>
      </c>
      <c r="J817" s="1">
        <f t="shared" si="942"/>
        <v>2.6646011757263111E-3</v>
      </c>
      <c r="K817" s="1">
        <f t="shared" si="942"/>
        <v>1.4246700264353152E-3</v>
      </c>
      <c r="L817" s="1">
        <f t="shared" ref="L817" si="943">L815-L816</f>
        <v>8.8437832869203703E-4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72.711040163491731</v>
      </c>
      <c r="G818" s="17">
        <f>[1]Industry!C$71</f>
        <v>73.85575762499596</v>
      </c>
      <c r="H818" s="17">
        <f>[1]Industry!D$71</f>
        <v>76.156614129257775</v>
      </c>
      <c r="I818" s="17">
        <f>[1]Industry!E$71</f>
        <v>76.758643371393063</v>
      </c>
      <c r="J818" s="17">
        <f>[2]Industry!F$71</f>
        <v>77.597530785757272</v>
      </c>
      <c r="K818" s="17">
        <f>[2]Industry!G$71</f>
        <v>78.505493665246689</v>
      </c>
      <c r="L818" s="17">
        <f>[2]Industry!H$71</f>
        <v>79.588080046197959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58.986525499493077</v>
      </c>
      <c r="G819" s="18">
        <f t="shared" ref="G819:K819" si="944">SUM(G820:G822)</f>
        <v>60.569405375385998</v>
      </c>
      <c r="H819" s="18">
        <f t="shared" si="944"/>
        <v>64.790677602724259</v>
      </c>
      <c r="I819" s="18">
        <f t="shared" si="944"/>
        <v>72.315351102133221</v>
      </c>
      <c r="J819" s="18">
        <f t="shared" si="944"/>
        <v>75.182220817480811</v>
      </c>
      <c r="K819" s="18">
        <f t="shared" si="944"/>
        <v>73.288761953193273</v>
      </c>
      <c r="L819" s="18">
        <f t="shared" ref="L819" si="945">SUM(L820:L822)</f>
        <v>78.352355293347841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9.8141619496138333</v>
      </c>
      <c r="G820" s="1">
        <f>[1]Industry!C$55</f>
        <v>10.335130020858854</v>
      </c>
      <c r="H820" s="1">
        <f>[1]Industry!D$55</f>
        <v>10.597154447882525</v>
      </c>
      <c r="I820" s="1">
        <f>[1]Industry!E$55</f>
        <v>13.317086969426741</v>
      </c>
      <c r="J820" s="1">
        <f>[2]Industry!F$55</f>
        <v>12.320402433223244</v>
      </c>
      <c r="K820" s="1">
        <f>[2]Industry!G$55</f>
        <v>12.3203997160689</v>
      </c>
      <c r="L820" s="1">
        <f>[2]Industry!H$55</f>
        <v>12.3203980755295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1.1089658977082459</v>
      </c>
      <c r="G821" s="1">
        <f>[1]Industry!C$56</f>
        <v>1.4009596081921354</v>
      </c>
      <c r="H821" s="1">
        <f>[1]Industry!D$56</f>
        <v>2.5872197533277985</v>
      </c>
      <c r="I821" s="1">
        <f>[1]Industry!E$56</f>
        <v>6.1196187278782199</v>
      </c>
      <c r="J821" s="1">
        <f>[2]Industry!F$56</f>
        <v>8.4147206528413427</v>
      </c>
      <c r="K821" s="1">
        <f>[2]Industry!G$56</f>
        <v>9.6033902836675296</v>
      </c>
      <c r="L821" s="1">
        <f>[2]Industry!H$56</f>
        <v>13.228701738066375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48.83331574633501</v>
      </c>
      <c r="H822" s="1">
        <f>[1]Industry!D$3-([1]Industry!D$6-[1]Industry!D$70)</f>
        <v>51.606303401513934</v>
      </c>
      <c r="I822" s="1">
        <f>[1]Industry!E$3-([1]Industry!E$6-[1]Industry!E$70)</f>
        <v>52.878645404828255</v>
      </c>
      <c r="J822" s="1">
        <f>[2]Industry!F$3-([2]Industry!F$6-[2]Industry!F$70)</f>
        <v>54.447097731416221</v>
      </c>
      <c r="K822" s="1">
        <f>[2]Industry!G$3-([2]Industry!G$6-[2]Industry!G$70)</f>
        <v>51.364971953456838</v>
      </c>
      <c r="L822" s="1">
        <f>[2]Industry!H$3-([2]Industry!H$6-[2]Industry!H$70)</f>
        <v>52.803255479751975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8.7638351472648299</v>
      </c>
      <c r="G823" s="1">
        <f t="shared" ref="G823:K823" si="947">SUM(G824:G825)</f>
        <v>8.1704635202978011</v>
      </c>
      <c r="H823" s="1">
        <f t="shared" si="947"/>
        <v>6.4781621876523552</v>
      </c>
      <c r="I823" s="1">
        <f t="shared" si="947"/>
        <v>5.242282117366698</v>
      </c>
      <c r="J823" s="1">
        <f t="shared" si="947"/>
        <v>3.9821233995157446</v>
      </c>
      <c r="K823" s="1">
        <f t="shared" si="947"/>
        <v>2.3909033234096615</v>
      </c>
      <c r="L823" s="1">
        <f t="shared" ref="L823" si="948">SUM(L824:L825)</f>
        <v>0.18410234165341888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6.91791002273958</v>
      </c>
      <c r="G824" s="1">
        <f>[1]Industry!C$57</f>
        <v>6.3246703469299703</v>
      </c>
      <c r="H824" s="1">
        <f>[1]Industry!D$57</f>
        <v>6.4457194252637864</v>
      </c>
      <c r="I824" s="1">
        <f>[1]Industry!E$57</f>
        <v>5.2391430723309336</v>
      </c>
      <c r="J824" s="1">
        <f>[2]Industry!F$57</f>
        <v>3.9772395233839131</v>
      </c>
      <c r="K824" s="1">
        <f>[2]Industry!G$57</f>
        <v>2.3905607753034745</v>
      </c>
      <c r="L824" s="1">
        <f>[2]Industry!H$57</f>
        <v>0.18410234165341888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1.8459251245252504</v>
      </c>
      <c r="G825" s="1">
        <f>[1]Industry!C$58</f>
        <v>1.8457931733678312</v>
      </c>
      <c r="H825" s="1">
        <f>[1]Industry!D$58</f>
        <v>3.244276238856901E-2</v>
      </c>
      <c r="I825" s="1">
        <f>[1]Industry!E$58</f>
        <v>3.1390450357645489E-3</v>
      </c>
      <c r="J825" s="1">
        <f>[2]Industry!F$58</f>
        <v>4.8838761318315826E-3</v>
      </c>
      <c r="K825" s="1">
        <f>[2]Industry!G$58</f>
        <v>3.4254810618699911E-4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28.930480813302548</v>
      </c>
      <c r="G826" s="1">
        <f t="shared" ref="G826:K826" si="949">SUM(G827:G829)</f>
        <v>26.120206686790951</v>
      </c>
      <c r="H826" s="1">
        <f t="shared" si="949"/>
        <v>29.313729434782257</v>
      </c>
      <c r="I826" s="1">
        <f t="shared" si="949"/>
        <v>20.801599831324669</v>
      </c>
      <c r="J826" s="1">
        <f t="shared" si="949"/>
        <v>12.337429711976421</v>
      </c>
      <c r="K826" s="1">
        <f t="shared" si="949"/>
        <v>7.8354430009163627</v>
      </c>
      <c r="L826" s="1">
        <f t="shared" ref="L826" si="950">SUM(L827:L829)</f>
        <v>5.1462850380258258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28.61986559200254</v>
      </c>
      <c r="G827" s="1">
        <f>[1]Industry!C$59</f>
        <v>25.727636490005015</v>
      </c>
      <c r="H827" s="1">
        <f>[1]Industry!D$59</f>
        <v>28.100348063994108</v>
      </c>
      <c r="I827" s="1">
        <f>[1]Industry!E$59</f>
        <v>18.537435265853812</v>
      </c>
      <c r="J827" s="1">
        <f>[2]Industry!F$59</f>
        <v>8.8707237358282125</v>
      </c>
      <c r="K827" s="1">
        <f>[2]Industry!G$59</f>
        <v>4.3713211186348371</v>
      </c>
      <c r="L827" s="1">
        <f>[2]Industry!H$59</f>
        <v>0.97431295585349553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7.2732520008101903E-2</v>
      </c>
      <c r="I828" s="1">
        <f>[1]Industry!E$60</f>
        <v>2.6222601149550204E-2</v>
      </c>
      <c r="J828" s="1">
        <f>[2]Industry!F$60</f>
        <v>5.4428437596038539E-3</v>
      </c>
      <c r="K828" s="1">
        <f>[2]Industry!G$60</f>
        <v>2.8551594551179836E-3</v>
      </c>
      <c r="L828" s="1">
        <f>[2]Industry!H$60</f>
        <v>1.711206315847854E-3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0.31061522130000835</v>
      </c>
      <c r="G829" s="1">
        <f>[1]Industry!C$68</f>
        <v>0.39257019678593641</v>
      </c>
      <c r="H829" s="1">
        <f>[1]Industry!D$68</f>
        <v>1.1406488507800474</v>
      </c>
      <c r="I829" s="1">
        <f>[1]Industry!E$68</f>
        <v>2.2379419643213079</v>
      </c>
      <c r="J829" s="1">
        <f>[2]Industry!F$68</f>
        <v>3.4612631323886056</v>
      </c>
      <c r="K829" s="1">
        <f>[2]Industry!G$68</f>
        <v>3.4612667228264078</v>
      </c>
      <c r="L829" s="1">
        <f>[2]Industry!H$68</f>
        <v>4.1702608758564823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2.3675046449638706</v>
      </c>
      <c r="G830" s="1">
        <f t="shared" ref="G830:L830" si="953">G831</f>
        <v>2.307526236939708</v>
      </c>
      <c r="H830" s="1">
        <f t="shared" si="953"/>
        <v>8.6100965844087857E-2</v>
      </c>
      <c r="I830" s="1">
        <f t="shared" si="953"/>
        <v>2.9365655056350394E-3</v>
      </c>
      <c r="J830" s="1">
        <f t="shared" si="953"/>
        <v>3.1279060027844426E-3</v>
      </c>
      <c r="K830" s="1">
        <f t="shared" si="953"/>
        <v>3.3790500465232849E-4</v>
      </c>
      <c r="L830" s="1">
        <f t="shared" si="953"/>
        <v>5.6504530200786536E-6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2.3675046449638706</v>
      </c>
      <c r="G831" s="1">
        <f>[1]Industry!C$61</f>
        <v>2.307526236939708</v>
      </c>
      <c r="H831" s="1">
        <f>[1]Industry!D$61</f>
        <v>8.6100965844087857E-2</v>
      </c>
      <c r="I831" s="1">
        <f>[1]Industry!E$61</f>
        <v>2.9365655056350394E-3</v>
      </c>
      <c r="J831" s="1">
        <f>[2]Industry!F$61</f>
        <v>3.1279060027844426E-3</v>
      </c>
      <c r="K831" s="1">
        <f>[2]Industry!G$61</f>
        <v>3.3790500465232849E-4</v>
      </c>
      <c r="L831" s="1">
        <f>[2]Industry!H$61</f>
        <v>5.6504530200786536E-6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11.767714244012463</v>
      </c>
      <c r="G832" s="1">
        <f t="shared" ref="G832:K832" si="954">G833+G843</f>
        <v>12.635602607574004</v>
      </c>
      <c r="H832" s="1">
        <f t="shared" si="954"/>
        <v>12.96984503676804</v>
      </c>
      <c r="I832" s="1">
        <f t="shared" si="954"/>
        <v>13.503790325651032</v>
      </c>
      <c r="J832" s="1">
        <f t="shared" si="954"/>
        <v>14.443371889156568</v>
      </c>
      <c r="K832" s="1">
        <f t="shared" si="954"/>
        <v>14.259153710714882</v>
      </c>
      <c r="L832" s="1">
        <f t="shared" ref="L832" si="955">L833+L843</f>
        <v>17.411176468011114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5.185249597601489</v>
      </c>
      <c r="G833" s="1">
        <f>[1]Industry!C$62</f>
        <v>5.5677090452185043</v>
      </c>
      <c r="H833" s="1">
        <f>[1]Industry!D$62</f>
        <v>5.8793007002002549</v>
      </c>
      <c r="I833" s="1">
        <f>[1]Industry!E$62</f>
        <v>6.375406323532256</v>
      </c>
      <c r="J833" s="1">
        <f>[2]Industry!F$62</f>
        <v>7.2773337986107558</v>
      </c>
      <c r="K833" s="1">
        <f>[2]Industry!G$62</f>
        <v>7.0555465855267023</v>
      </c>
      <c r="L833" s="1">
        <f>[2]Industry!H$62</f>
        <v>9.4717791777582825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1.0882738510467735</v>
      </c>
      <c r="G834" s="1">
        <f t="shared" ref="G834:K834" si="956">IFERROR(G793/G$792,0)*G$833</f>
        <v>1.9910923158624092</v>
      </c>
      <c r="H834" s="1">
        <f t="shared" si="956"/>
        <v>1.3611477384643893</v>
      </c>
      <c r="I834" s="1">
        <f t="shared" si="956"/>
        <v>1.1679218085907579</v>
      </c>
      <c r="J834" s="1">
        <f t="shared" si="956"/>
        <v>0.77432642220058989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1.0597228877771845</v>
      </c>
      <c r="G835" s="1">
        <f t="shared" si="958"/>
        <v>0.24370533851287102</v>
      </c>
      <c r="H835" s="1">
        <f t="shared" si="958"/>
        <v>0.55979843322089473</v>
      </c>
      <c r="I835" s="1">
        <f t="shared" si="958"/>
        <v>5.566736165763931E-2</v>
      </c>
      <c r="J835" s="1">
        <f t="shared" si="958"/>
        <v>1.0153631968232211</v>
      </c>
      <c r="K835" s="1">
        <f t="shared" si="958"/>
        <v>0.12384482698650262</v>
      </c>
      <c r="L835" s="1">
        <f t="shared" ref="L835" si="959">IFERROR(L794/L$792,0)*L$833</f>
        <v>0.44506438479164051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5.1776209922042127E-2</v>
      </c>
      <c r="L836" s="1">
        <f t="shared" ref="L836" si="960">IFERROR(L795/L$792,0)*L$833</f>
        <v>0.25736233142452658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0</v>
      </c>
      <c r="J837" s="1">
        <f t="shared" si="958"/>
        <v>1.4425598952417234E-3</v>
      </c>
      <c r="K837" s="1">
        <f t="shared" si="958"/>
        <v>1.8679646466862468E-3</v>
      </c>
      <c r="L837" s="1">
        <f t="shared" ref="L837" si="961">IFERROR(L796/L$792,0)*L$833</f>
        <v>3.1109717910308418E-4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2.2650146490868748</v>
      </c>
      <c r="G838" s="1">
        <f t="shared" si="958"/>
        <v>1.9457836328757525</v>
      </c>
      <c r="H838" s="1">
        <f t="shared" si="958"/>
        <v>0.10011344833837869</v>
      </c>
      <c r="I838" s="1">
        <f t="shared" si="958"/>
        <v>9.1670995609909919E-2</v>
      </c>
      <c r="J838" s="1">
        <f t="shared" si="958"/>
        <v>1.2726975800933724E-2</v>
      </c>
      <c r="K838" s="1">
        <f t="shared" si="958"/>
        <v>5.4306951740348839E-3</v>
      </c>
      <c r="L838" s="1">
        <f t="shared" ref="L838" si="962">IFERROR(L797/L$792,0)*L$833</f>
        <v>6.9234577216352759E-4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0.83572121077992911</v>
      </c>
      <c r="L839" s="1">
        <f t="shared" ref="L839" si="963">IFERROR(L798/L$792,0)*L$833</f>
        <v>0.93932621994424048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0.77223820969065582</v>
      </c>
      <c r="G840" s="1">
        <f t="shared" si="958"/>
        <v>1.387127757967471</v>
      </c>
      <c r="H840" s="1">
        <f t="shared" si="958"/>
        <v>3.8582410801765921</v>
      </c>
      <c r="I840" s="1">
        <f t="shared" si="958"/>
        <v>5.060146157673949</v>
      </c>
      <c r="J840" s="1">
        <f t="shared" si="958"/>
        <v>5.4666134692644848</v>
      </c>
      <c r="K840" s="1">
        <f t="shared" si="958"/>
        <v>5.3312229885302065</v>
      </c>
      <c r="L840" s="1">
        <f t="shared" ref="L840" si="964">IFERROR(L799/L$792,0)*L$833</f>
        <v>5.0650158132324075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0.6031834008063387</v>
      </c>
      <c r="L841" s="1">
        <f t="shared" ref="L841" si="965">IFERROR(L800/L$792,0)*L$833</f>
        <v>2.6836217165746779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0</v>
      </c>
      <c r="J842" s="1">
        <f t="shared" si="958"/>
        <v>6.8611746262842747E-3</v>
      </c>
      <c r="K842" s="1">
        <f t="shared" si="958"/>
        <v>0.1024992886809621</v>
      </c>
      <c r="L842" s="1">
        <f t="shared" ref="L842" si="966">IFERROR(L801/L$792,0)*L$833</f>
        <v>8.0385268839524585E-2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6.5824646464109744</v>
      </c>
      <c r="G843" s="1">
        <f>[1]Industry!C$63</f>
        <v>7.0678935623555006</v>
      </c>
      <c r="H843" s="1">
        <f>[1]Industry!D$63</f>
        <v>7.0905443365677856</v>
      </c>
      <c r="I843" s="1">
        <f>[1]Industry!E$63</f>
        <v>7.1283840021187768</v>
      </c>
      <c r="J843" s="1">
        <f>[2]Industry!F$63</f>
        <v>7.1660380905458121</v>
      </c>
      <c r="K843" s="1">
        <f>[2]Industry!G$63</f>
        <v>7.2036071251881797</v>
      </c>
      <c r="L843" s="1">
        <f>[2]Industry!H$63</f>
        <v>7.9393972902528303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5.3112538801372393</v>
      </c>
      <c r="G844" s="1">
        <f t="shared" ref="G844:L844" si="967">G845</f>
        <v>6.2669954666482779</v>
      </c>
      <c r="H844" s="1">
        <f t="shared" si="967"/>
        <v>6.0030768912076287</v>
      </c>
      <c r="I844" s="1">
        <f t="shared" si="967"/>
        <v>7.0120500285676695</v>
      </c>
      <c r="J844" s="1">
        <f t="shared" si="967"/>
        <v>7.5390645204821665</v>
      </c>
      <c r="K844" s="1">
        <f t="shared" si="967"/>
        <v>5.2750277567885453</v>
      </c>
      <c r="L844" s="1">
        <f t="shared" si="967"/>
        <v>6.3994435721882486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5.3112538801372393</v>
      </c>
      <c r="G845" s="1">
        <f>[1]Industry!C$64</f>
        <v>6.2669954666482779</v>
      </c>
      <c r="H845" s="1">
        <f>[1]Industry!D$64</f>
        <v>6.0030768912076287</v>
      </c>
      <c r="I845" s="1">
        <f>[1]Industry!E$64</f>
        <v>7.0120500285676695</v>
      </c>
      <c r="J845" s="1">
        <f>[2]Industry!F$64</f>
        <v>7.5390645204821665</v>
      </c>
      <c r="K845" s="1">
        <f>[2]Industry!G$64</f>
        <v>5.2750277567885453</v>
      </c>
      <c r="L845" s="1">
        <f>[2]Industry!H$64</f>
        <v>6.3994435721882486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0.46159904975162597</v>
      </c>
      <c r="G846" s="1">
        <f t="shared" ref="G846:L846" si="968">G847</f>
        <v>0.5446111002284405</v>
      </c>
      <c r="H846" s="1">
        <f t="shared" si="968"/>
        <v>0.57530150914458866</v>
      </c>
      <c r="I846" s="1">
        <f t="shared" si="968"/>
        <v>0.59338116082553971</v>
      </c>
      <c r="J846" s="1">
        <f t="shared" si="968"/>
        <v>0.54706651109913529</v>
      </c>
      <c r="K846" s="1">
        <f t="shared" si="968"/>
        <v>0.54706859873063129</v>
      </c>
      <c r="L846" s="1">
        <f t="shared" si="968"/>
        <v>0.54709585245556791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0.46159904975162597</v>
      </c>
      <c r="G847" s="1">
        <f>[1]Industry!C$65</f>
        <v>0.5446111002284405</v>
      </c>
      <c r="H847" s="1">
        <f>[1]Industry!D$65</f>
        <v>0.57530150914458866</v>
      </c>
      <c r="I847" s="1">
        <f>[1]Industry!E$65</f>
        <v>0.59338116082553971</v>
      </c>
      <c r="J847" s="1">
        <f>[2]Industry!F$65</f>
        <v>0.54706651109913529</v>
      </c>
      <c r="K847" s="1">
        <f>[2]Industry!G$65</f>
        <v>0.54706859873063129</v>
      </c>
      <c r="L847" s="1">
        <f>[2]Industry!H$65</f>
        <v>0.54709585245556791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4.1174169544843391</v>
      </c>
      <c r="G848" s="1">
        <f t="shared" ref="G848:L848" si="969">G849</f>
        <v>4.2667306877460165</v>
      </c>
      <c r="H848" s="1">
        <f t="shared" si="969"/>
        <v>5.7220937662547611</v>
      </c>
      <c r="I848" s="1">
        <f t="shared" si="969"/>
        <v>6.0522454199934543</v>
      </c>
      <c r="J848" s="1">
        <f t="shared" si="969"/>
        <v>5.6801488153698356</v>
      </c>
      <c r="K848" s="1">
        <f t="shared" si="969"/>
        <v>4.4406326320534033</v>
      </c>
      <c r="L848" s="1">
        <f t="shared" si="969"/>
        <v>2.9376028313035794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4.1174169544843391</v>
      </c>
      <c r="G849" s="1">
        <f>[1]Industry!C$66</f>
        <v>4.2667306877460165</v>
      </c>
      <c r="H849" s="1">
        <f>[1]Industry!D$66</f>
        <v>5.7220937662547611</v>
      </c>
      <c r="I849" s="1">
        <f>[1]Industry!E$66</f>
        <v>6.0522454199934543</v>
      </c>
      <c r="J849" s="1">
        <f>[2]Industry!F$66</f>
        <v>5.6801488153698356</v>
      </c>
      <c r="K849" s="1">
        <f>[2]Industry!G$66</f>
        <v>4.4406326320534033</v>
      </c>
      <c r="L849" s="1">
        <f>[2]Industry!H$66</f>
        <v>2.9376028313035794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6.8107582252723106E-2</v>
      </c>
      <c r="G850" s="1">
        <f t="shared" ref="G850:L850" si="970">G851</f>
        <v>8.5601774398449418E-2</v>
      </c>
      <c r="H850" s="1">
        <f t="shared" si="970"/>
        <v>0.10204303950376965</v>
      </c>
      <c r="I850" s="1">
        <f t="shared" si="970"/>
        <v>2.3313497198267528</v>
      </c>
      <c r="J850" s="1">
        <f t="shared" si="970"/>
        <v>1.4396318767165821</v>
      </c>
      <c r="K850" s="1">
        <f t="shared" si="970"/>
        <v>1.4015561220606163</v>
      </c>
      <c r="L850" s="1">
        <f t="shared" si="970"/>
        <v>0.90942379760176173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6.8107582252723106E-2</v>
      </c>
      <c r="G851" s="1">
        <f>[1]Industry!C$67</f>
        <v>8.5601774398449418E-2</v>
      </c>
      <c r="H851" s="1">
        <f>[1]Industry!D$67</f>
        <v>0.10204303950376965</v>
      </c>
      <c r="I851" s="1">
        <f>[1]Industry!E$67</f>
        <v>2.3313497198267528</v>
      </c>
      <c r="J851" s="1">
        <f>[2]Industry!F$67</f>
        <v>1.4396318767165821</v>
      </c>
      <c r="K851" s="1">
        <f>[2]Industry!G$67</f>
        <v>1.4015561220606163</v>
      </c>
      <c r="L851" s="1">
        <f>[2]Industry!H$67</f>
        <v>0.90942379760176173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0</v>
      </c>
      <c r="J852" s="1">
        <f t="shared" si="971"/>
        <v>7.1585195958162542</v>
      </c>
      <c r="K852" s="1">
        <f t="shared" si="971"/>
        <v>7.9138759188264398</v>
      </c>
      <c r="L852" s="1">
        <f t="shared" si="971"/>
        <v>7.9138654606646135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7.1585195958162542</v>
      </c>
      <c r="K853" s="1">
        <f>[2]Industry!G$69</f>
        <v>7.9138759188264398</v>
      </c>
      <c r="L853" s="1">
        <f>[2]Industry!H$69</f>
        <v>7.9138654606646135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2.084147841936673</v>
      </c>
      <c r="H854" s="1">
        <f t="shared" si="972"/>
        <v>2.0840960164003799</v>
      </c>
      <c r="I854" s="1">
        <f t="shared" si="972"/>
        <v>2.1606887510302721</v>
      </c>
      <c r="J854" s="1">
        <f t="shared" si="972"/>
        <v>4.5222959174853745</v>
      </c>
      <c r="K854" s="1">
        <f t="shared" si="972"/>
        <v>17.06531968693249</v>
      </c>
      <c r="L854" s="1">
        <f t="shared" ref="L854" si="973">SUM(L855:L856)</f>
        <v>17.542459341651252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0.36221792661536223</v>
      </c>
      <c r="H855" s="1">
        <f>[1]Industry!D$6-H856</f>
        <v>0.36220891951043255</v>
      </c>
      <c r="I855" s="1">
        <f>[1]Industry!E$6-I856</f>
        <v>0.37838624600362936</v>
      </c>
      <c r="J855" s="1">
        <f>[2]Industry!F$6-J856</f>
        <v>0.79037244392817163</v>
      </c>
      <c r="K855" s="1">
        <f>[2]Industry!G$6-K856</f>
        <v>4.5476149899274265</v>
      </c>
      <c r="L855" s="1">
        <f>[2]Industry!H$6-L856</f>
        <v>4.9524801214063103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1.7219299153213108</v>
      </c>
      <c r="H856" s="1">
        <f>[1]Industry!D$70</f>
        <v>1.7218870968899473</v>
      </c>
      <c r="I856" s="1">
        <f>[1]Industry!E$70</f>
        <v>1.7823025050266428</v>
      </c>
      <c r="J856" s="1">
        <f>[2]Industry!F$70</f>
        <v>3.7319234735572029</v>
      </c>
      <c r="K856" s="1">
        <f>[2]Industry!G$70</f>
        <v>12.517704697005064</v>
      </c>
      <c r="L856" s="1">
        <f>[2]Industry!H$70</f>
        <v>12.589979220244942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0.84261542941328316</v>
      </c>
      <c r="G858" s="4">
        <f t="shared" ref="G858:K858" si="974">IFERROR(G820/G765,"-")</f>
        <v>0.84306236513985411</v>
      </c>
      <c r="H858" s="4">
        <f t="shared" si="974"/>
        <v>0.84373276872970682</v>
      </c>
      <c r="I858" s="4">
        <f t="shared" si="974"/>
        <v>0.84485010804613025</v>
      </c>
      <c r="J858" s="4">
        <f t="shared" si="974"/>
        <v>0.84596744736255358</v>
      </c>
      <c r="K858" s="4">
        <f t="shared" si="974"/>
        <v>0.84708478667897724</v>
      </c>
      <c r="L858" s="4">
        <f t="shared" ref="L858" si="975">IFERROR(L820/L765,"-")</f>
        <v>0.84931946531182378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3.1055374774069149</v>
      </c>
      <c r="H859" s="4">
        <f t="shared" si="978"/>
        <v>3.1423734201402915</v>
      </c>
      <c r="I859" s="4">
        <f t="shared" si="978"/>
        <v>3.2037666580292488</v>
      </c>
      <c r="J859" s="4">
        <f t="shared" si="978"/>
        <v>3.26515989591821</v>
      </c>
      <c r="K859" s="4">
        <f t="shared" si="978"/>
        <v>3.3265531338071694</v>
      </c>
      <c r="L859" s="4">
        <f t="shared" ref="L859" si="979">IFERROR(L821/L766,"-")</f>
        <v>3.4493396095850919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0.99999906163469399</v>
      </c>
      <c r="H860" s="4">
        <f t="shared" si="980"/>
        <v>0.99999912262705681</v>
      </c>
      <c r="I860" s="4">
        <f t="shared" si="980"/>
        <v>1.0000054848621223</v>
      </c>
      <c r="J860" s="4">
        <f t="shared" si="980"/>
        <v>1.0000027777201681</v>
      </c>
      <c r="K860" s="4">
        <f t="shared" si="980"/>
        <v>0.99999246362047911</v>
      </c>
      <c r="L860" s="4">
        <f t="shared" ref="L860" si="981">IFERROR(L822/L767,"-")</f>
        <v>0.96675254755570927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0.77746213224363558</v>
      </c>
      <c r="G861" s="4">
        <f t="shared" ref="G861:K862" si="982">IFERROR(G824/G769,"-")</f>
        <v>0.77871988564932404</v>
      </c>
      <c r="H861" s="4">
        <f t="shared" si="982"/>
        <v>0.78060651575785645</v>
      </c>
      <c r="I861" s="4">
        <f t="shared" si="982"/>
        <v>0.78375089927207642</v>
      </c>
      <c r="J861" s="4">
        <f t="shared" si="982"/>
        <v>0.78689528278629772</v>
      </c>
      <c r="K861" s="4">
        <f t="shared" si="982"/>
        <v>0.79003966630051947</v>
      </c>
      <c r="L861" s="4">
        <f t="shared" ref="L861" si="983">IFERROR(L824/L769,"-")</f>
        <v>0.79632843332896108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0.67612499999999953</v>
      </c>
      <c r="G862" s="4">
        <f t="shared" si="982"/>
        <v>0.67904999999999938</v>
      </c>
      <c r="H862" s="4">
        <f t="shared" si="982"/>
        <v>0.68343750000000036</v>
      </c>
      <c r="I862" s="4">
        <f t="shared" si="982"/>
        <v>0.69074999999999875</v>
      </c>
      <c r="J862" s="4">
        <f t="shared" si="982"/>
        <v>0.69806249999999992</v>
      </c>
      <c r="K862" s="4">
        <f t="shared" si="982"/>
        <v>0.7053749999999992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0.80566116177430336</v>
      </c>
      <c r="G863" s="4">
        <f t="shared" ref="G863:K865" si="985">IFERROR(G827/G779,"-")</f>
        <v>0.8061004452224656</v>
      </c>
      <c r="H863" s="4">
        <f t="shared" si="985"/>
        <v>0.80608821485178184</v>
      </c>
      <c r="I863" s="4">
        <f t="shared" si="985"/>
        <v>0.80804567256343973</v>
      </c>
      <c r="J863" s="4">
        <f t="shared" si="985"/>
        <v>0.83005475641887472</v>
      </c>
      <c r="K863" s="4">
        <f t="shared" si="985"/>
        <v>0.83692082209139296</v>
      </c>
      <c r="L863" s="4">
        <f t="shared" ref="L863" si="986">IFERROR(L827/L779,"-")</f>
        <v>0.84019797100331117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7.7895443764011123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0.66669950225755537</v>
      </c>
      <c r="G865" s="4">
        <f t="shared" si="985"/>
        <v>0.69152741007847685</v>
      </c>
      <c r="H865" s="4">
        <f t="shared" si="985"/>
        <v>0.70688581817275475</v>
      </c>
      <c r="I865" s="4">
        <f t="shared" si="985"/>
        <v>0.71099999999999952</v>
      </c>
      <c r="J865" s="4">
        <f t="shared" si="985"/>
        <v>0.71099999999999997</v>
      </c>
      <c r="K865" s="4">
        <f t="shared" si="985"/>
        <v>0.71099999999999963</v>
      </c>
      <c r="L865" s="4">
        <f t="shared" ref="L865" si="988">IFERROR(L829/L781,"-")</f>
        <v>0.71999999999999975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0.66499999999999948</v>
      </c>
      <c r="G866" s="4">
        <f t="shared" ref="G866:K866" si="989">IFERROR(G831/G790,"-")</f>
        <v>0.66600000000000037</v>
      </c>
      <c r="H866" s="4">
        <f t="shared" si="989"/>
        <v>0.66749999999999987</v>
      </c>
      <c r="I866" s="4">
        <f t="shared" si="989"/>
        <v>0.67000000000000015</v>
      </c>
      <c r="J866" s="4">
        <f t="shared" si="989"/>
        <v>0.67250000000000032</v>
      </c>
      <c r="K866" s="4">
        <f t="shared" si="989"/>
        <v>0.67499999999999982</v>
      </c>
      <c r="L866" s="4">
        <f t="shared" ref="L866" si="990">IFERROR(L831/L790,"-")</f>
        <v>0.68000000000000049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1.1701510746223676</v>
      </c>
      <c r="G867" s="4">
        <f t="shared" ref="G867:K867" si="991">IFERROR(G834/G793,"-")</f>
        <v>0.98911936711276671</v>
      </c>
      <c r="H867" s="4">
        <f t="shared" si="991"/>
        <v>1.0387111898072838</v>
      </c>
      <c r="I867" s="4">
        <f t="shared" si="991"/>
        <v>0.9403314307098356</v>
      </c>
      <c r="J867" s="4">
        <f t="shared" si="991"/>
        <v>0.93573418199388492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1.1701510746223673</v>
      </c>
      <c r="G868" s="4">
        <f t="shared" si="993"/>
        <v>0.9891193671127666</v>
      </c>
      <c r="H868" s="4">
        <f t="shared" si="993"/>
        <v>1.0387111898072838</v>
      </c>
      <c r="I868" s="4">
        <f t="shared" si="993"/>
        <v>0.9403314307098356</v>
      </c>
      <c r="J868" s="4">
        <f t="shared" si="993"/>
        <v>0.93573418199388503</v>
      </c>
      <c r="K868" s="4">
        <f t="shared" si="993"/>
        <v>0.94134141755163214</v>
      </c>
      <c r="L868" s="4">
        <f t="shared" ref="L868" si="994">IFERROR(L835/L794,"-")</f>
        <v>0.94960925696749954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0.94134141755163203</v>
      </c>
      <c r="L869" s="4">
        <f t="shared" ref="L869" si="995">IFERROR(L836/L795,"-")</f>
        <v>0.94960925696749976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 t="str">
        <f t="shared" si="993"/>
        <v>-</v>
      </c>
      <c r="J870" s="4">
        <f t="shared" si="993"/>
        <v>0.93573418199388503</v>
      </c>
      <c r="K870" s="4">
        <f t="shared" si="993"/>
        <v>0.94134141755163214</v>
      </c>
      <c r="L870" s="4">
        <f t="shared" ref="L870" si="996">IFERROR(L837/L796,"-")</f>
        <v>0.94960925696749965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1.1701510746223673</v>
      </c>
      <c r="G871" s="4">
        <f t="shared" si="993"/>
        <v>0.98911936711276671</v>
      </c>
      <c r="H871" s="4">
        <f t="shared" si="993"/>
        <v>1.0387111898072836</v>
      </c>
      <c r="I871" s="4">
        <f t="shared" si="993"/>
        <v>0.94033143070983571</v>
      </c>
      <c r="J871" s="4">
        <f t="shared" si="993"/>
        <v>0.93573418199388492</v>
      </c>
      <c r="K871" s="4">
        <f t="shared" si="993"/>
        <v>0.94134141755163203</v>
      </c>
      <c r="L871" s="4">
        <f t="shared" ref="L871" si="997">IFERROR(L838/L797,"-")</f>
        <v>0.94960925696749976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0.94134141755163203</v>
      </c>
      <c r="L872" s="4">
        <f t="shared" ref="L872" si="998">IFERROR(L839/L798,"-")</f>
        <v>0.94960925696749976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1.1701510746223676</v>
      </c>
      <c r="G873" s="4">
        <f t="shared" si="993"/>
        <v>0.9891193671127666</v>
      </c>
      <c r="H873" s="4">
        <f t="shared" si="993"/>
        <v>1.0387111898072838</v>
      </c>
      <c r="I873" s="4">
        <f t="shared" si="993"/>
        <v>0.94033143070983571</v>
      </c>
      <c r="J873" s="4">
        <f t="shared" si="993"/>
        <v>0.93573418199388492</v>
      </c>
      <c r="K873" s="4">
        <f t="shared" si="993"/>
        <v>0.94134141755163214</v>
      </c>
      <c r="L873" s="4">
        <f t="shared" ref="L873" si="999">IFERROR(L840/L799,"-")</f>
        <v>0.94960925696749987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0.94134141755163192</v>
      </c>
      <c r="L874" s="4">
        <f t="shared" ref="L874" si="1000">IFERROR(L841/L800,"-")</f>
        <v>0.94960925696749987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 t="str">
        <f t="shared" si="993"/>
        <v>-</v>
      </c>
      <c r="J875" s="4">
        <f t="shared" si="993"/>
        <v>0.93573418199388503</v>
      </c>
      <c r="K875" s="4">
        <f t="shared" si="993"/>
        <v>0.94134141755163203</v>
      </c>
      <c r="L875" s="4">
        <f t="shared" ref="L875" si="1001">IFERROR(L842/L801,"-")</f>
        <v>0.94960925696749965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0.92447626236575009</v>
      </c>
      <c r="G876" s="4">
        <f t="shared" si="993"/>
        <v>0.92645636412827248</v>
      </c>
      <c r="H876" s="4">
        <f t="shared" si="993"/>
        <v>0.92942651677205412</v>
      </c>
      <c r="I876" s="4">
        <f t="shared" si="993"/>
        <v>0.93437677117835827</v>
      </c>
      <c r="J876" s="4">
        <f t="shared" si="993"/>
        <v>0.93932702558466319</v>
      </c>
      <c r="K876" s="4">
        <f>IFERROR(K843/K802,"-")</f>
        <v>0.94427727999096656</v>
      </c>
      <c r="L876" s="4">
        <f>IFERROR(L843/L802,"-")</f>
        <v>0.95000000000000062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0.59000000000000008</v>
      </c>
      <c r="G877" s="4">
        <f t="shared" ref="G877:K877" si="1002">IFERROR(G845/G804,"-")</f>
        <v>0.59066666666666656</v>
      </c>
      <c r="H877" s="4">
        <f t="shared" si="1002"/>
        <v>0.59166666666666645</v>
      </c>
      <c r="I877" s="4">
        <f t="shared" si="1002"/>
        <v>0.5933333333333326</v>
      </c>
      <c r="J877" s="4">
        <f t="shared" si="1002"/>
        <v>0.59500000000000031</v>
      </c>
      <c r="K877" s="4">
        <f t="shared" si="1002"/>
        <v>0.59666666666666746</v>
      </c>
      <c r="L877" s="4">
        <f t="shared" ref="L877" si="1003">IFERROR(L845/L804,"-")</f>
        <v>0.59999999999999987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04">IFERROR(G847/G806,"-")</f>
        <v>0.73833333333333329</v>
      </c>
      <c r="H878" s="4">
        <f t="shared" si="1004"/>
        <v>0.73958333333333381</v>
      </c>
      <c r="I878" s="4">
        <f t="shared" si="1004"/>
        <v>0.74166666666666747</v>
      </c>
      <c r="J878" s="4">
        <f t="shared" si="1004"/>
        <v>0.74375000000000036</v>
      </c>
      <c r="K878" s="4">
        <f t="shared" si="1004"/>
        <v>0.74583333333333257</v>
      </c>
      <c r="L878" s="4">
        <f t="shared" ref="L878" si="1005">IFERROR(L847/L806,"-")</f>
        <v>0.75000000000000089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0.52800000000000014</v>
      </c>
      <c r="G879" s="4">
        <f t="shared" ref="G879:K879" si="1006">IFERROR(G849/G808,"-")</f>
        <v>0.52800000000000002</v>
      </c>
      <c r="H879" s="4">
        <f t="shared" si="1006"/>
        <v>0.52800000000000002</v>
      </c>
      <c r="I879" s="4">
        <f t="shared" si="1006"/>
        <v>0.52800000000000036</v>
      </c>
      <c r="J879" s="4">
        <f t="shared" si="1006"/>
        <v>0.52800000000000014</v>
      </c>
      <c r="K879" s="4">
        <f t="shared" si="1006"/>
        <v>0.52800000000000002</v>
      </c>
      <c r="L879" s="4">
        <f t="shared" ref="L879" si="1007">IFERROR(L849/L808,"-")</f>
        <v>0.54400000000000004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 t="str">
        <f t="shared" si="1010"/>
        <v>-</v>
      </c>
      <c r="J881" s="4">
        <f t="shared" si="1010"/>
        <v>0.78349929710262711</v>
      </c>
      <c r="K881" s="4">
        <f t="shared" si="1010"/>
        <v>0.79541031330822676</v>
      </c>
      <c r="L881" s="4">
        <f t="shared" ref="L881" si="1011">IFERROR(L853/L814,"-")</f>
        <v>0.80907410955739545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140.10259811175644</v>
      </c>
      <c r="G882" s="17">
        <f t="shared" si="1012"/>
        <v>136.76646895044979</v>
      </c>
      <c r="H882" s="17">
        <f t="shared" si="1012"/>
        <v>132.76306201141824</v>
      </c>
      <c r="I882" s="17">
        <f t="shared" si="1012"/>
        <v>121.47084718927252</v>
      </c>
      <c r="J882" s="17">
        <f t="shared" si="1012"/>
        <v>118.11241196680771</v>
      </c>
      <c r="K882" s="17">
        <f t="shared" si="1012"/>
        <v>113.5910393064585</v>
      </c>
      <c r="L882" s="17">
        <f t="shared" ref="L882" si="1013">L883+L887+L894+L905+L913+L915+L917+L919+L923</f>
        <v>103.91564243988176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60.950448759542525</v>
      </c>
      <c r="G883" s="1">
        <f>[1]Services!C$11</f>
        <v>60.772458648175679</v>
      </c>
      <c r="H883" s="1">
        <f>[1]Services!D$11</f>
        <v>61.257814825617999</v>
      </c>
      <c r="I883" s="1">
        <f>[1]Services!E$11</f>
        <v>58.408792766706213</v>
      </c>
      <c r="J883" s="1">
        <f>[2]Services!F$11</f>
        <v>60.029967986723356</v>
      </c>
      <c r="K883" s="1">
        <f>[2]Services!G$11</f>
        <v>60.765611425755807</v>
      </c>
      <c r="L883" s="1">
        <f>[2]Services!H$11</f>
        <v>60.532012160130009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2.6238847409468149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0.64527196001545362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1.1044682177838305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0.61480768134112684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0.53607972801063652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0.44159065397967062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0.31827734022282117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1.3317894436832673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1.4252639343739246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1.6815575406656758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2.593608142969277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3.4868801446314892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4.4707424608452371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4.9461708965912292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58.701922753786299</v>
      </c>
      <c r="H886" s="1">
        <f>[1]Services!D$11-[1]Services!D$28</f>
        <v>58.471789067168494</v>
      </c>
      <c r="I886" s="1">
        <f>[1]Services!E$11-[1]Services!E$28</f>
        <v>55.200376942395806</v>
      </c>
      <c r="J886" s="1">
        <f>[2]Services!F$11-[2]Services!F$28</f>
        <v>56.007008114081231</v>
      </c>
      <c r="K886" s="1">
        <f>[2]Services!G$11-[2]Services!G$28</f>
        <v>55.853278310930897</v>
      </c>
      <c r="L886" s="1">
        <f>[2]Services!H$11-[2]Services!H$28</f>
        <v>55.267563923315961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30.256679168903222</v>
      </c>
      <c r="G887" s="1">
        <f t="shared" ref="G887:L887" si="1016">G888</f>
        <v>25.799210065042509</v>
      </c>
      <c r="H887" s="1">
        <f t="shared" si="1016"/>
        <v>26.114252197428314</v>
      </c>
      <c r="I887" s="1">
        <f t="shared" si="1016"/>
        <v>15.489299762393747</v>
      </c>
      <c r="J887" s="1">
        <f t="shared" si="1016"/>
        <v>11.776576529729933</v>
      </c>
      <c r="K887" s="1">
        <f t="shared" si="1016"/>
        <v>6.7873256860145847</v>
      </c>
      <c r="L887" s="1">
        <f t="shared" si="1016"/>
        <v>1.2797451625720144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30.256679168903222</v>
      </c>
      <c r="G888" s="1">
        <f t="shared" ref="G888:K888" si="1017">SUM(G891,G893)</f>
        <v>25.799210065042509</v>
      </c>
      <c r="H888" s="1">
        <f t="shared" si="1017"/>
        <v>26.114252197428314</v>
      </c>
      <c r="I888" s="1">
        <f t="shared" si="1017"/>
        <v>15.489299762393747</v>
      </c>
      <c r="J888" s="1">
        <f t="shared" si="1017"/>
        <v>11.776576529729933</v>
      </c>
      <c r="K888" s="1">
        <f t="shared" si="1017"/>
        <v>6.7873256860145847</v>
      </c>
      <c r="L888" s="1">
        <f t="shared" ref="L888" si="1018">SUM(L891,L893)</f>
        <v>1.2797451625720144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30.256679168903222</v>
      </c>
      <c r="G889" s="1">
        <f t="shared" ref="G889:L889" si="1019">G890</f>
        <v>25.799210065042509</v>
      </c>
      <c r="H889" s="1">
        <f t="shared" si="1019"/>
        <v>26.113314941272144</v>
      </c>
      <c r="I889" s="1">
        <f t="shared" si="1019"/>
        <v>15.481939363223526</v>
      </c>
      <c r="J889" s="1">
        <f t="shared" si="1019"/>
        <v>11.775249209055476</v>
      </c>
      <c r="K889" s="1">
        <f t="shared" si="1019"/>
        <v>6.7863785666066043</v>
      </c>
      <c r="L889" s="1">
        <f t="shared" si="1019"/>
        <v>1.3149924867655738E-5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30.256679168903222</v>
      </c>
      <c r="G890" s="1">
        <f>[1]Services!C$12</f>
        <v>25.799210065042509</v>
      </c>
      <c r="H890" s="1">
        <f>[1]Services!D$12</f>
        <v>26.113314941272144</v>
      </c>
      <c r="I890" s="1">
        <f>[1]Services!E$12</f>
        <v>15.481939363223526</v>
      </c>
      <c r="J890" s="1">
        <f>[2]Services!F$12</f>
        <v>11.775249209055476</v>
      </c>
      <c r="K890" s="1">
        <f>[2]Services!G$12</f>
        <v>6.7863785666066043</v>
      </c>
      <c r="L890" s="1">
        <f>[2]Services!H$12</f>
        <v>1.3149924867655738E-5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30.256679168903222</v>
      </c>
      <c r="G891" s="1">
        <f t="shared" ref="G891:K891" si="1020">G890</f>
        <v>25.799210065042509</v>
      </c>
      <c r="H891" s="1">
        <f t="shared" si="1020"/>
        <v>26.113314941272144</v>
      </c>
      <c r="I891" s="1">
        <f t="shared" si="1020"/>
        <v>15.481939363223526</v>
      </c>
      <c r="J891" s="1">
        <f t="shared" si="1020"/>
        <v>11.775249209055476</v>
      </c>
      <c r="K891" s="1">
        <f t="shared" si="1020"/>
        <v>6.7863785666066043</v>
      </c>
      <c r="L891" s="1">
        <f t="shared" ref="L891" si="1021">L890</f>
        <v>1.3149924867655738E-5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9.3725615617091672E-4</v>
      </c>
      <c r="I892">
        <f t="shared" si="1022"/>
        <v>7.3603991702199485E-3</v>
      </c>
      <c r="J892">
        <f t="shared" si="1022"/>
        <v>1.3273206744572833E-3</v>
      </c>
      <c r="K892">
        <f t="shared" si="1022"/>
        <v>9.4711940798023983E-4</v>
      </c>
      <c r="L892">
        <f t="shared" si="1022"/>
        <v>1.2797320126471468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9.3725615617091672E-4</v>
      </c>
      <c r="I893">
        <f>[1]Services!E$13</f>
        <v>7.3603991702199485E-3</v>
      </c>
      <c r="J893">
        <f>[2]Services!F$13</f>
        <v>1.3273206744572833E-3</v>
      </c>
      <c r="K893">
        <f>[2]Services!G$13</f>
        <v>9.4711940798023983E-4</v>
      </c>
      <c r="L893">
        <f>[2]Services!H$13</f>
        <v>1.2797320126471468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26.95115646417451</v>
      </c>
      <c r="G894" s="1">
        <f t="shared" ref="G894:K894" si="1023">SUM(G895:G897)</f>
        <v>28.283571641452646</v>
      </c>
      <c r="H894" s="1">
        <f t="shared" si="1023"/>
        <v>25.206358997463987</v>
      </c>
      <c r="I894" s="1">
        <f t="shared" si="1023"/>
        <v>23.38523821010757</v>
      </c>
      <c r="J894" s="1">
        <f t="shared" si="1023"/>
        <v>19.718667106742281</v>
      </c>
      <c r="K894" s="1">
        <f t="shared" si="1023"/>
        <v>16.396694265512878</v>
      </c>
      <c r="L894" s="1">
        <f t="shared" ref="L894" si="1024">SUM(L895:L897)</f>
        <v>12.27734134168665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25.548774405374235</v>
      </c>
      <c r="G895" s="1">
        <f>SUM([1]Services!C$14:C$15)</f>
        <v>26.746259085957988</v>
      </c>
      <c r="H895" s="1">
        <f>SUM([1]Services!D$14:D$15)</f>
        <v>23.970212817789154</v>
      </c>
      <c r="I895" s="1">
        <f>SUM([1]Services!E$14:E$15)</f>
        <v>20.084651660268161</v>
      </c>
      <c r="J895" s="1">
        <f>SUM([2]Services!F$14:F$15)</f>
        <v>15.486434848090937</v>
      </c>
      <c r="K895" s="1">
        <f>SUM([2]Services!G$14:G$15)</f>
        <v>11.179188078454866</v>
      </c>
      <c r="L895" s="1">
        <f>SUM([2]Services!H$14:H$15)</f>
        <v>7.2641666954002257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1.2361461796748339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3.3005865498394074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4.2322322586513428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5.2175061870580111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5.0131746462864255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1.402382058800276</v>
      </c>
      <c r="G897" s="1">
        <f>[1]Services!C$16</f>
        <v>1.5373125554946594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25.270451645074157</v>
      </c>
      <c r="G898" s="1">
        <f>[1]Services!C$14</f>
        <v>25.064134787876768</v>
      </c>
      <c r="H898" s="1">
        <f>[1]Services!D$14</f>
        <v>23.281682762432812</v>
      </c>
      <c r="I898" s="1">
        <f>[1]Services!E$14</f>
        <v>19.366832890143371</v>
      </c>
      <c r="J898" s="1">
        <f>[2]Services!F$14</f>
        <v>14.873874307597401</v>
      </c>
      <c r="K898" s="1">
        <f>[2]Services!G$14</f>
        <v>8.679631182024945</v>
      </c>
      <c r="L898" s="1">
        <f>[2]Services!H$14</f>
        <v>4.1720758179055153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25.270451645074157</v>
      </c>
      <c r="G899" s="1">
        <f>[1]Services!C$14*IFERROR(G895/SUM(G895:G896),0)</f>
        <v>25.064134787876768</v>
      </c>
      <c r="H899" s="1">
        <f>[1]Services!D$14*IFERROR(H895/SUM(H895:H896),0)</f>
        <v>22.139924716136708</v>
      </c>
      <c r="I899" s="1">
        <f>[1]Services!E$14*IFERROR(I895/SUM(I895:I896),0)</f>
        <v>16.633403041112953</v>
      </c>
      <c r="J899" s="1">
        <f>[2]Services!F$14*IFERROR(J895/SUM(J895:J896),0)</f>
        <v>11.681483548375386</v>
      </c>
      <c r="K899" s="1">
        <f>[2]Services!G$14*IFERROR(K895/SUM(K895:K896),0)</f>
        <v>5.9177312124166335</v>
      </c>
      <c r="L899" s="1">
        <f>[2]Services!H$14*IFERROR(L895/SUM(L895:L896),0)</f>
        <v>2.4685030222471926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1.1417580462961041</v>
      </c>
      <c r="I900" s="1">
        <f t="shared" si="1028"/>
        <v>2.7334298490304185</v>
      </c>
      <c r="J900" s="1">
        <f t="shared" si="1028"/>
        <v>3.1923907592220147</v>
      </c>
      <c r="K900" s="1">
        <f t="shared" si="1028"/>
        <v>2.7618999696083115</v>
      </c>
      <c r="L900" s="1">
        <f t="shared" ref="L900" si="1029">L898-L899</f>
        <v>1.7035727956583226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1.6807048191003551</v>
      </c>
      <c r="G901" s="1">
        <f>[1]Services!C$15+G904</f>
        <v>3.2194368535758811</v>
      </c>
      <c r="H901" s="1">
        <f>[1]Services!D$15+H904</f>
        <v>0.68853005535634126</v>
      </c>
      <c r="I901" s="1">
        <f>[1]Services!E$15+I904</f>
        <v>0.71781877012478923</v>
      </c>
      <c r="J901" s="1">
        <f>[2]Services!F$15+J904</f>
        <v>0.61256054049353714</v>
      </c>
      <c r="K901" s="1">
        <f>[2]Services!G$15+K904</f>
        <v>2.4995568964299202</v>
      </c>
      <c r="L901" s="1">
        <f>[2]Services!H$15+L904</f>
        <v>3.0920908774947105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0.27832276030007902</v>
      </c>
      <c r="G902" s="1">
        <f>[1]Services!C$15*G895/SUM(G895:G896)</f>
        <v>1.6821242980812219</v>
      </c>
      <c r="H902" s="1">
        <f>[1]Services!D$15*H895/SUM(H895:H896)</f>
        <v>0.65476382209727846</v>
      </c>
      <c r="I902" s="1">
        <f>[1]Services!E$15*I895/SUM(I895:I896)</f>
        <v>0.61650601219563883</v>
      </c>
      <c r="J902" s="1">
        <f>[2]Services!F$15*J895/SUM(J895:J896)</f>
        <v>0.48108621386589134</v>
      </c>
      <c r="K902" s="1">
        <f>[2]Services!G$15*K895/SUM(K895:K896)</f>
        <v>1.7041859905116044</v>
      </c>
      <c r="L902" s="1">
        <f>[2]Services!H$15*L895/SUM(L895:L896)</f>
        <v>1.8295055050055486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3.3766233259062715E-2</v>
      </c>
      <c r="I903" s="1">
        <f>[1]Services!E$15*I896/SUM(I895:I896)</f>
        <v>0.10131275792915032</v>
      </c>
      <c r="J903" s="1">
        <f>[2]Services!F$15*J896/SUM(J895:J896)</f>
        <v>0.1314743266276458</v>
      </c>
      <c r="K903" s="1">
        <f>[2]Services!G$15*K896/SUM(K895:K896)</f>
        <v>0.79537090591831572</v>
      </c>
      <c r="L903" s="1">
        <f>[2]Services!H$15*L896/SUM(L895:L896)</f>
        <v>1.262585372489162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1.402382058800276</v>
      </c>
      <c r="G904" s="1">
        <f>[1]Services!C$16</f>
        <v>1.5373125554946594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7.7270878126393789</v>
      </c>
      <c r="G905" s="1">
        <f>[1]Services!C$17</f>
        <v>8.3699013825085071</v>
      </c>
      <c r="H905" s="1">
        <f>[1]Services!D$17</f>
        <v>5.9482898181497221</v>
      </c>
      <c r="I905" s="1">
        <f>[1]Services!E$17</f>
        <v>7.6471325057742057</v>
      </c>
      <c r="J905" s="1">
        <f>[2]Services!F$17</f>
        <v>8.4069761723008423</v>
      </c>
      <c r="K905" s="1">
        <f>[2]Services!G$17</f>
        <v>9.3340384082878813</v>
      </c>
      <c r="L905" s="1">
        <f>[2]Services!H$17</f>
        <v>9.1278584853809015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2.1170162823110847</v>
      </c>
      <c r="G906" s="1">
        <f>[1]Services!C$51/0.99</f>
        <v>2.2931519529473565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1.4242417796526472</v>
      </c>
      <c r="G907" s="1">
        <f t="shared" ref="G907:L907" si="1031">IF(G906-SUM(G908:G911)&lt;0,0,G906-SUM(G908:G911))</f>
        <v>1.553951195986748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0.69277450265843765</v>
      </c>
      <c r="G908" s="1">
        <f t="shared" si="1032"/>
        <v>0.7392007569606085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3.125742423827519E-2</v>
      </c>
      <c r="J911" s="1">
        <f t="shared" si="1037"/>
        <v>4.0909447640664724E-3</v>
      </c>
      <c r="K911" s="1">
        <f t="shared" si="1037"/>
        <v>6.6913923628616114E-3</v>
      </c>
      <c r="L911" s="1">
        <f t="shared" ref="L911" si="1038">L290</f>
        <v>6.750989700751108E-3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5.6100715303282946</v>
      </c>
      <c r="G912" s="1">
        <f t="shared" ref="G912:K912" si="1039">G905-G906</f>
        <v>6.0767494295611506</v>
      </c>
      <c r="H912" s="1">
        <f t="shared" si="1039"/>
        <v>5.9482898181497221</v>
      </c>
      <c r="I912" s="1">
        <f t="shared" si="1039"/>
        <v>7.6471325057742057</v>
      </c>
      <c r="J912" s="1">
        <f t="shared" si="1039"/>
        <v>8.4069761723008423</v>
      </c>
      <c r="K912" s="1">
        <f t="shared" si="1039"/>
        <v>9.3340384082878813</v>
      </c>
      <c r="L912" s="1">
        <f t="shared" ref="L912" si="1040">L905-L906</f>
        <v>9.1278584853809015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8.5744660242739226</v>
      </c>
      <c r="G913" s="1">
        <f t="shared" ref="G913:L913" si="1041">G914</f>
        <v>7.2610711900694813</v>
      </c>
      <c r="H913" s="1">
        <f t="shared" si="1041"/>
        <v>10.069284452655683</v>
      </c>
      <c r="I913" s="1">
        <f t="shared" si="1041"/>
        <v>9.6060666162982002</v>
      </c>
      <c r="J913" s="1">
        <f t="shared" si="1041"/>
        <v>8.4349369359837887</v>
      </c>
      <c r="K913" s="1">
        <f t="shared" si="1041"/>
        <v>7.0772384564241033</v>
      </c>
      <c r="L913" s="1">
        <f t="shared" si="1041"/>
        <v>4.760046418050794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8.5744660242739226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7.2610711900694813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10.069284452655683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9.6060666162982002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8.4349369359837887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7.0772384564241033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4.760046418050794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2.085722942349133</v>
      </c>
      <c r="G915" s="1">
        <f t="shared" ref="G915:L915" si="1042">G916</f>
        <v>2.4001397450892603</v>
      </c>
      <c r="H915" s="1">
        <f t="shared" si="1042"/>
        <v>0.55263559063612044</v>
      </c>
      <c r="I915" s="1">
        <f t="shared" si="1042"/>
        <v>0.71187208479320641</v>
      </c>
      <c r="J915" s="1">
        <f t="shared" si="1042"/>
        <v>0.81958070322726606</v>
      </c>
      <c r="K915" s="1">
        <f t="shared" si="1042"/>
        <v>1.0403624874905346</v>
      </c>
      <c r="L915" s="1">
        <f t="shared" si="1042"/>
        <v>1.0853210851587736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2.085722942349133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2.4001397450892603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0.55263559063612044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0.71187208479320641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0.81958070322726606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1.0403624874905346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1.0853210851587736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0.62710016377056388</v>
      </c>
      <c r="G917" s="1">
        <f t="shared" ref="G917:L917" si="1043">G918</f>
        <v>0.68752506511414369</v>
      </c>
      <c r="H917" s="1">
        <f t="shared" si="1043"/>
        <v>0.55479707708111603</v>
      </c>
      <c r="I917" s="1">
        <f t="shared" si="1043"/>
        <v>0.60815181420141473</v>
      </c>
      <c r="J917" s="1">
        <f t="shared" si="1043"/>
        <v>0.66784321830606108</v>
      </c>
      <c r="K917" s="1">
        <f t="shared" si="1043"/>
        <v>0.7508369473269777</v>
      </c>
      <c r="L917" s="1">
        <f t="shared" si="1043"/>
        <v>0.80491151836887531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0.62710016377056388</v>
      </c>
      <c r="G918" s="1">
        <f>[1]Services!C$19</f>
        <v>0.68752506511414369</v>
      </c>
      <c r="H918" s="1">
        <f>[1]Services!D$19</f>
        <v>0.55479707708111603</v>
      </c>
      <c r="I918" s="1">
        <f>[1]Services!E$19</f>
        <v>0.60815181420141473</v>
      </c>
      <c r="J918" s="1">
        <f>[2]Services!F$19</f>
        <v>0.66784321830606108</v>
      </c>
      <c r="K918" s="1">
        <f>[2]Services!G$19</f>
        <v>0.7508369473269777</v>
      </c>
      <c r="L918" s="1">
        <f>[2]Services!H$19</f>
        <v>0.80491151836887531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3.5412022876040387E-2</v>
      </c>
      <c r="J919" s="1">
        <f>[2]Services!F$20</f>
        <v>3.4177897712801353E-3</v>
      </c>
      <c r="K919" s="1">
        <f>[2]Services!G$20</f>
        <v>4.9526996244733945E-3</v>
      </c>
      <c r="L919" s="1">
        <f>[2]Services!H$20</f>
        <v>4.1892384855047784E-3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3.5412022876040387E-2</v>
      </c>
      <c r="J921" s="1">
        <f t="shared" si="1046"/>
        <v>3.4177897712801353E-3</v>
      </c>
      <c r="K921" s="1">
        <f t="shared" si="1046"/>
        <v>4.9526996244733945E-3</v>
      </c>
      <c r="L921" s="1">
        <f t="shared" si="1046"/>
        <v>4.1892384855047784E-3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3.5412022876040387E-2</v>
      </c>
      <c r="J922" s="1">
        <f>[2]Services!F$20</f>
        <v>3.4177897712801353E-3</v>
      </c>
      <c r="K922" s="1">
        <f>[2]Services!G$20</f>
        <v>4.9526996244733945E-3</v>
      </c>
      <c r="L922" s="1">
        <f>[2]Services!H$20</f>
        <v>4.1892384855047784E-3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2.9299367761031867</v>
      </c>
      <c r="G923" s="1">
        <f t="shared" ref="G923:L923" si="1047">G924</f>
        <v>3.1925912129975891</v>
      </c>
      <c r="H923" s="1">
        <f t="shared" si="1047"/>
        <v>3.0596290523853114</v>
      </c>
      <c r="I923" s="1">
        <f t="shared" si="1047"/>
        <v>5.5788814061219156</v>
      </c>
      <c r="J923" s="1">
        <f t="shared" si="1047"/>
        <v>8.2544455240229198</v>
      </c>
      <c r="K923" s="1">
        <f t="shared" si="1047"/>
        <v>11.433978930021262</v>
      </c>
      <c r="L923" s="1">
        <f t="shared" si="1047"/>
        <v>14.044217030048262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2.9299367761031867</v>
      </c>
      <c r="G924" s="1">
        <f>[1]Services!C$21-G925</f>
        <v>3.1925912129975891</v>
      </c>
      <c r="H924" s="1">
        <f>[1]Services!D$21-H925</f>
        <v>3.0596290523853114</v>
      </c>
      <c r="I924" s="1">
        <f>[1]Services!E$21-I925</f>
        <v>5.5788814061219156</v>
      </c>
      <c r="J924" s="1">
        <f>[2]Services!F$21-J925</f>
        <v>8.2544455240229198</v>
      </c>
      <c r="K924" s="1">
        <f>[2]Services!G$21-K925</f>
        <v>11.433978930021262</v>
      </c>
      <c r="L924" s="1">
        <f>[2]Services!H$21-L925</f>
        <v>14.044217030048262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1.1357205945886539</v>
      </c>
      <c r="I925" s="1">
        <f>[1]Services!E$50-I896</f>
        <v>3.3214134028358466</v>
      </c>
      <c r="J925" s="1">
        <f>[2]Services!F$50-J896</f>
        <v>4.4962198705732748</v>
      </c>
      <c r="K925" s="1">
        <f>[2]Services!G$50-K896</f>
        <v>5.8224491666542049</v>
      </c>
      <c r="L925" s="1">
        <f>[2]Services!H$50-L896</f>
        <v>6.5553284531278715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73.239765675392817</v>
      </c>
      <c r="G926" s="17">
        <f>[1]Services!C$59</f>
        <v>78.579259856419995</v>
      </c>
      <c r="H926" s="17">
        <f>[1]Services!D$59</f>
        <v>62.63212379098114</v>
      </c>
      <c r="I926" s="17">
        <f>[1]Services!E$59</f>
        <v>60.945023171262029</v>
      </c>
      <c r="J926" s="17">
        <f>[2]Services!F$59</f>
        <v>60.988875044546582</v>
      </c>
      <c r="K926" s="17">
        <f>[2]Services!G$59</f>
        <v>61.051560591110089</v>
      </c>
      <c r="L926" s="17">
        <f>[2]Services!H$59</f>
        <v>60.041800786653042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63.650795620812865</v>
      </c>
      <c r="G927" s="1">
        <f t="shared" ref="G927:K927" si="1050">SUM(G928:G930)</f>
        <v>63.91020174457195</v>
      </c>
      <c r="H927" s="1">
        <f t="shared" si="1050"/>
        <v>63.734963420372502</v>
      </c>
      <c r="I927" s="1">
        <f t="shared" si="1050"/>
        <v>63.676882580382255</v>
      </c>
      <c r="J927" s="1">
        <f t="shared" si="1050"/>
        <v>68.016826794470205</v>
      </c>
      <c r="K927" s="1">
        <f t="shared" si="1050"/>
        <v>71.982441056126746</v>
      </c>
      <c r="L927" s="1">
        <f t="shared" ref="L927" si="1051">SUM(L928:L930)</f>
        <v>74.426774571664893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2.3942948261139705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0.59042384341414011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0.52198776015302872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0.30401608889524623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0.26849301173457268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0.2244413543293387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0.16882272170943693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4.2617262197864543</v>
      </c>
      <c r="G929" s="1">
        <f>[1]Services!C$47</f>
        <v>4.6178551473715137</v>
      </c>
      <c r="H929" s="1">
        <f>[1]Services!D$47</f>
        <v>4.7411865930509869</v>
      </c>
      <c r="I929" s="1">
        <f>[1]Services!E$47</f>
        <v>8.1724895490911926</v>
      </c>
      <c r="J929" s="1">
        <f>[2]Services!F$47</f>
        <v>11.741325668654406</v>
      </c>
      <c r="K929" s="1">
        <f>[2]Services!G$47</f>
        <v>15.9047213908665</v>
      </c>
      <c r="L929" s="1">
        <f>[2]Services!H$47</f>
        <v>18.990387926639492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58.701922753786299</v>
      </c>
      <c r="H930" s="1">
        <f>[1]Services!D$3-([1]Services!D$6-[1]Services!D$58)</f>
        <v>58.471789067168487</v>
      </c>
      <c r="I930" s="1">
        <f>[1]Services!E$3-([1]Services!E$6-[1]Services!E$58)</f>
        <v>55.20037694239582</v>
      </c>
      <c r="J930" s="1">
        <f>[2]Services!F$3-([2]Services!F$6-[2]Services!F$58)</f>
        <v>56.007008114081231</v>
      </c>
      <c r="K930" s="1">
        <f>[2]Services!G$3-([2]Services!G$6-[2]Services!G$58)</f>
        <v>55.853278310930904</v>
      </c>
      <c r="L930" s="1">
        <f>[2]Services!H$3-([2]Services!H$6-[2]Services!H$58)</f>
        <v>55.267563923315961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24.84310667054552</v>
      </c>
      <c r="G931" s="1">
        <f t="shared" ref="G931:L931" si="1054">G932</f>
        <v>21.225121811907183</v>
      </c>
      <c r="H931" s="1">
        <f t="shared" si="1054"/>
        <v>20.675718559819455</v>
      </c>
      <c r="I931" s="1">
        <f t="shared" si="1054"/>
        <v>12.681970222599137</v>
      </c>
      <c r="J931" s="1">
        <f t="shared" si="1054"/>
        <v>9.6421526579787891</v>
      </c>
      <c r="K931" s="1">
        <f t="shared" si="1054"/>
        <v>5.5571693725047178</v>
      </c>
      <c r="L931" s="1">
        <f t="shared" si="1054"/>
        <v>1.0478001131889401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24.84310667054552</v>
      </c>
      <c r="G932" s="1">
        <f>[1]Services!C$48</f>
        <v>21.225121811907183</v>
      </c>
      <c r="H932" s="1">
        <f>[1]Services!D$48</f>
        <v>20.675718559819455</v>
      </c>
      <c r="I932" s="1">
        <f>[1]Services!E$48</f>
        <v>12.681970222599137</v>
      </c>
      <c r="J932" s="1">
        <f>[2]Services!F$48</f>
        <v>9.6421526579787891</v>
      </c>
      <c r="K932" s="1">
        <f>[2]Services!G$48</f>
        <v>5.5571693725047178</v>
      </c>
      <c r="L932" s="1">
        <f>[2]Services!H$48</f>
        <v>1.0478001131889401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25.412954675071884</v>
      </c>
      <c r="G933" s="1">
        <f t="shared" ref="G933:K933" si="1055">SUM(G934:G936)</f>
        <v>26.664429741224374</v>
      </c>
      <c r="H933" s="1">
        <f t="shared" si="1055"/>
        <v>21.77089350556809</v>
      </c>
      <c r="I933" s="1">
        <f t="shared" si="1055"/>
        <v>21.202019984368842</v>
      </c>
      <c r="J933" s="1">
        <f t="shared" si="1055"/>
        <v>18.487158023421816</v>
      </c>
      <c r="K933" s="1">
        <f t="shared" si="1055"/>
        <v>16.21215251355304</v>
      </c>
      <c r="L933" s="1">
        <f t="shared" ref="L933" si="1056">SUM(L934:L936)</f>
        <v>13.523414544502591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24.189797043386285</v>
      </c>
      <c r="G934" s="1">
        <f>[1]Services!C$49</f>
        <v>25.32358573032193</v>
      </c>
      <c r="H934" s="1">
        <f>[1]Services!D$49</f>
        <v>19.399026731304602</v>
      </c>
      <c r="I934" s="1">
        <f>[1]Services!E$49</f>
        <v>14.580020031693589</v>
      </c>
      <c r="J934" s="1">
        <f>[2]Services!F$49</f>
        <v>9.7587058941971989</v>
      </c>
      <c r="K934" s="1">
        <f>[2]Services!G$49</f>
        <v>5.1721971598408247</v>
      </c>
      <c r="L934" s="1">
        <f>[2]Services!H$49</f>
        <v>1.9549114450882943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2.3718667742634878</v>
      </c>
      <c r="I935" s="1">
        <f>[1]Services!E$50</f>
        <v>6.621999952675254</v>
      </c>
      <c r="J935" s="1">
        <f>[2]Services!F$50</f>
        <v>8.7284521292246176</v>
      </c>
      <c r="K935" s="1">
        <f>[2]Services!G$50</f>
        <v>11.039955353712216</v>
      </c>
      <c r="L935" s="1">
        <f>[2]Services!H$50</f>
        <v>11.568503099414297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1.2231576316855999</v>
      </c>
      <c r="G936" s="1">
        <f>[1]Services!C$56</f>
        <v>1.3408440109024429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7.6498169345129821</v>
      </c>
      <c r="G937" s="1">
        <f t="shared" ref="G937:K937" si="1061">G938+G944</f>
        <v>8.2862023686834299</v>
      </c>
      <c r="H937" s="1">
        <f t="shared" si="1061"/>
        <v>4.8845488682816356</v>
      </c>
      <c r="I937" s="1">
        <f t="shared" si="1061"/>
        <v>6.306409427354704</v>
      </c>
      <c r="J937" s="1">
        <f t="shared" si="1061"/>
        <v>6.9330345392225912</v>
      </c>
      <c r="K937" s="1">
        <f t="shared" si="1061"/>
        <v>7.6975608528909705</v>
      </c>
      <c r="L937" s="1">
        <f t="shared" ref="L937" si="1062">L938+L944</f>
        <v>7.5275291438065475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2.0958461194879741</v>
      </c>
      <c r="G938" s="1">
        <f>[1]Services!C$51</f>
        <v>2.270220433417883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1.4099993618561208</v>
      </c>
      <c r="G939" s="1">
        <f t="shared" ref="G939:K939" si="1063">IFERROR(G907/G$906,0)*G$938</f>
        <v>1.5384116840268807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0.68584675763185332</v>
      </c>
      <c r="G940" s="1">
        <f t="shared" ref="G940:K943" si="1065">IFERROR(G908/G$906,0)*G$938</f>
        <v>0.73180874939100238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5.553970815025008</v>
      </c>
      <c r="G944" s="1">
        <f>[1]Services!C$52</f>
        <v>6.0159819352655468</v>
      </c>
      <c r="H944" s="1">
        <f>[1]Services!D$52</f>
        <v>4.8845488682816356</v>
      </c>
      <c r="I944" s="1">
        <f>[1]Services!E$52</f>
        <v>6.306409427354704</v>
      </c>
      <c r="J944" s="1">
        <f>[2]Services!F$52</f>
        <v>6.9330345392225912</v>
      </c>
      <c r="K944" s="1">
        <f>[2]Services!G$52</f>
        <v>7.6975608528909705</v>
      </c>
      <c r="L944" s="1">
        <f>[2]Services!H$52</f>
        <v>7.5275291438065475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6.1736155374772199</v>
      </c>
      <c r="G945" s="1">
        <f t="shared" ref="G945:L945" si="1070">G946</f>
        <v>5.2279712568500267</v>
      </c>
      <c r="H945" s="1">
        <f t="shared" si="1070"/>
        <v>6.7954740716128024</v>
      </c>
      <c r="I945" s="1">
        <f t="shared" si="1070"/>
        <v>6.5084223188485115</v>
      </c>
      <c r="J945" s="1">
        <f t="shared" si="1070"/>
        <v>5.7149439000447169</v>
      </c>
      <c r="K945" s="1">
        <f t="shared" si="1070"/>
        <v>4.8089301252332364</v>
      </c>
      <c r="L945" s="1">
        <f t="shared" si="1070"/>
        <v>3.3421981580189004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6.1736155374772199</v>
      </c>
      <c r="G946" s="1">
        <f>[1]Services!C$53</f>
        <v>5.2279712568500267</v>
      </c>
      <c r="H946" s="1">
        <f>[1]Services!D$53</f>
        <v>6.7954740716128024</v>
      </c>
      <c r="I946" s="1">
        <f>[1]Services!E$53</f>
        <v>6.5084223188485115</v>
      </c>
      <c r="J946" s="1">
        <f>[2]Services!F$53</f>
        <v>5.7149439000447169</v>
      </c>
      <c r="K946" s="1">
        <f>[2]Services!G$53</f>
        <v>4.8089301252332364</v>
      </c>
      <c r="L946" s="1">
        <f>[2]Services!H$53</f>
        <v>3.3421981580189004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1.8771506481142195</v>
      </c>
      <c r="G947" s="1">
        <f t="shared" ref="G947:L947" si="1071">G948</f>
        <v>2.1601257705803349</v>
      </c>
      <c r="H947" s="1">
        <f t="shared" si="1071"/>
        <v>0.36389940041924101</v>
      </c>
      <c r="I947" s="1">
        <f t="shared" si="1071"/>
        <v>0.47075826318942304</v>
      </c>
      <c r="J947" s="1">
        <f t="shared" si="1071"/>
        <v>0.54488833848819096</v>
      </c>
      <c r="K947" s="1">
        <f t="shared" si="1071"/>
        <v>0.70248432862311583</v>
      </c>
      <c r="L947" s="1">
        <f t="shared" si="1071"/>
        <v>0.73934833048218818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1.8771506481142195</v>
      </c>
      <c r="G948" s="1">
        <f>[1]Services!C$54</f>
        <v>2.1601257705803349</v>
      </c>
      <c r="H948" s="1">
        <f>[1]Services!D$54</f>
        <v>0.36389940041924101</v>
      </c>
      <c r="I948" s="1">
        <f>[1]Services!E$54</f>
        <v>0.47075826318942304</v>
      </c>
      <c r="J948" s="1">
        <f>[2]Services!F$54</f>
        <v>0.54488833848819096</v>
      </c>
      <c r="K948" s="1">
        <f>[2]Services!G$54</f>
        <v>0.70248432862311583</v>
      </c>
      <c r="L948" s="1">
        <f>[2]Services!H$54</f>
        <v>0.73934833048218818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0.62710016377056388</v>
      </c>
      <c r="G949" s="1">
        <f t="shared" ref="G949:L949" si="1072">G950</f>
        <v>0.68752506511414369</v>
      </c>
      <c r="H949" s="1">
        <f t="shared" si="1072"/>
        <v>0.55479707708111603</v>
      </c>
      <c r="I949" s="1">
        <f t="shared" si="1072"/>
        <v>0.60815181420141473</v>
      </c>
      <c r="J949" s="1">
        <f t="shared" si="1072"/>
        <v>0.66784321830606108</v>
      </c>
      <c r="K949" s="1">
        <f t="shared" si="1072"/>
        <v>0.7508369473269777</v>
      </c>
      <c r="L949" s="1">
        <f t="shared" si="1072"/>
        <v>0.80491151836887531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0.62710016377056388</v>
      </c>
      <c r="G950" s="1">
        <f>[1]Services!C$55</f>
        <v>0.68752506511414369</v>
      </c>
      <c r="H950" s="1">
        <f>[1]Services!D$55</f>
        <v>0.55479707708111603</v>
      </c>
      <c r="I950" s="1">
        <f>[1]Services!E$55</f>
        <v>0.60815181420141473</v>
      </c>
      <c r="J950" s="1">
        <f>[2]Services!F$55</f>
        <v>0.66784321830606108</v>
      </c>
      <c r="K950" s="1">
        <f>[2]Services!G$55</f>
        <v>0.7508369473269777</v>
      </c>
      <c r="L950" s="1">
        <f>[2]Services!H$55</f>
        <v>0.80491151836887531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9.1196048512748433</v>
      </c>
      <c r="H953" s="1">
        <f>[1]Services!D$58</f>
        <v>2.3236179549947895</v>
      </c>
      <c r="I953" s="1">
        <f>[1]Services!E$58</f>
        <v>4.6907855027135685</v>
      </c>
      <c r="J953" s="1">
        <f>[2]Services!F$58</f>
        <v>6.9890356866954368</v>
      </c>
      <c r="K953" s="1">
        <f>[2]Services!G$58</f>
        <v>9.1932637057821882</v>
      </c>
      <c r="L953" s="1">
        <f>[2]Services!H$58</f>
        <v>13.897388329936074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0.91250000000000075</v>
      </c>
      <c r="G955" s="4">
        <f t="shared" si="1076"/>
        <v>0.91500000000000004</v>
      </c>
      <c r="H955" s="4">
        <f t="shared" si="1076"/>
        <v>0.47261455943062147</v>
      </c>
      <c r="I955" s="4">
        <f t="shared" si="1076"/>
        <v>0.4944897373957215</v>
      </c>
      <c r="J955" s="4">
        <f t="shared" si="1076"/>
        <v>0.50084529913290332</v>
      </c>
      <c r="K955" s="4">
        <f t="shared" si="1076"/>
        <v>0.50825657723197926</v>
      </c>
      <c r="L955" s="4">
        <f t="shared" ref="L955" si="1077">IFERROR(L928/L884,"-")</f>
        <v>0.53042645634542096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3.1999999999999988</v>
      </c>
      <c r="G956" s="4">
        <f t="shared" si="1076"/>
        <v>3.2399999999999984</v>
      </c>
      <c r="H956" s="4">
        <f t="shared" si="1076"/>
        <v>2.8195208777536691</v>
      </c>
      <c r="I956" s="4">
        <f t="shared" si="1076"/>
        <v>3.1510116789404301</v>
      </c>
      <c r="J956" s="4">
        <f t="shared" si="1076"/>
        <v>3.3672868528996394</v>
      </c>
      <c r="K956" s="4">
        <f t="shared" si="1076"/>
        <v>3.5575123215349693</v>
      </c>
      <c r="L956" s="4">
        <f t="shared" ref="L956" si="1078">IFERROR(L929/L885,"-")</f>
        <v>3.8394120065133954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1.0000000000000002</v>
      </c>
      <c r="J957" s="4">
        <f t="shared" si="1076"/>
        <v>1</v>
      </c>
      <c r="K957" s="4">
        <f t="shared" si="1076"/>
        <v>1.0000000000000002</v>
      </c>
      <c r="L957" s="4">
        <f t="shared" ref="L957" si="1079">IFERROR(L930/L886,"-")</f>
        <v>1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0.82107843137254843</v>
      </c>
      <c r="G958" s="4">
        <f t="shared" si="1080"/>
        <v>0.82270432925645509</v>
      </c>
      <c r="H958" s="4">
        <f t="shared" si="1080"/>
        <v>0.79174078597033548</v>
      </c>
      <c r="I958" s="4">
        <f t="shared" si="1080"/>
        <v>0.81875684615449917</v>
      </c>
      <c r="J958" s="4">
        <f t="shared" si="1080"/>
        <v>0.81875684615450017</v>
      </c>
      <c r="K958" s="4">
        <f t="shared" si="1080"/>
        <v>0.81875684615449829</v>
      </c>
      <c r="L958" s="4">
        <f t="shared" ref="L958" si="1081">IFERROR(L932/L888,"-")</f>
        <v>0.81875684615449973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0.94680851063829952</v>
      </c>
      <c r="G959" s="4">
        <f t="shared" si="1082"/>
        <v>0.94680851063829807</v>
      </c>
      <c r="H959" s="4">
        <f t="shared" si="1082"/>
        <v>0.80929722563447115</v>
      </c>
      <c r="I959" s="4">
        <f t="shared" si="1082"/>
        <v>0.72592844916180754</v>
      </c>
      <c r="J959" s="4">
        <f t="shared" si="1082"/>
        <v>0.63014541370702803</v>
      </c>
      <c r="K959" s="4">
        <f t="shared" si="1082"/>
        <v>0.46266304167553651</v>
      </c>
      <c r="L959" s="4">
        <f t="shared" ref="L959" si="1083">IFERROR(L934/L895,"-")</f>
        <v>0.26911709588467625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1.9187591348519988</v>
      </c>
      <c r="I960" s="4">
        <f t="shared" si="1082"/>
        <v>2.0063100460121102</v>
      </c>
      <c r="J960" s="4">
        <f t="shared" si="1082"/>
        <v>2.0623755020491372</v>
      </c>
      <c r="K960" s="4">
        <f t="shared" si="1082"/>
        <v>2.1159448514113413</v>
      </c>
      <c r="L960" s="4">
        <f t="shared" ref="L960" si="1084">IFERROR(L935/L896,"-")</f>
        <v>2.3076202038929199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0.87219999999999942</v>
      </c>
      <c r="G961" s="4">
        <f t="shared" si="1082"/>
        <v>0.87220000000000064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0.9900000000000001</v>
      </c>
      <c r="G962" s="4">
        <f t="shared" si="1086"/>
        <v>0.9900000000000001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0.9900000000000001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>
        <f t="shared" si="1086"/>
        <v>0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0.98999999999999932</v>
      </c>
      <c r="G967" s="4">
        <f t="shared" si="1086"/>
        <v>0.99000000000000132</v>
      </c>
      <c r="H967" s="4">
        <f t="shared" si="1086"/>
        <v>0.82116860771942446</v>
      </c>
      <c r="I967" s="4">
        <f t="shared" si="1086"/>
        <v>0.82467636366871544</v>
      </c>
      <c r="J967" s="4">
        <f t="shared" si="1086"/>
        <v>0.824676363668715</v>
      </c>
      <c r="K967" s="4">
        <f t="shared" si="1086"/>
        <v>0.824676363668715</v>
      </c>
      <c r="L967" s="4">
        <f t="shared" ref="L967" si="1092">IFERROR(L944/L912,"-")</f>
        <v>0.82467636366871511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0.71999999999999953</v>
      </c>
      <c r="G968" s="4">
        <f t="shared" si="1093"/>
        <v>0.72</v>
      </c>
      <c r="H968" s="4">
        <f t="shared" si="1093"/>
        <v>0.67487159624540716</v>
      </c>
      <c r="I968" s="4">
        <f t="shared" si="1093"/>
        <v>0.67753249886961553</v>
      </c>
      <c r="J968" s="4">
        <f t="shared" si="1093"/>
        <v>0.67753249886961575</v>
      </c>
      <c r="K968" s="4">
        <f t="shared" si="1093"/>
        <v>0.6794924538494399</v>
      </c>
      <c r="L968" s="4">
        <f t="shared" ref="L968" si="1094">IFERROR(L946/L913,"-")</f>
        <v>0.70213562316215972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0.89999999999999991</v>
      </c>
      <c r="G969" s="4">
        <f t="shared" si="1095"/>
        <v>0.90000000000000024</v>
      </c>
      <c r="H969" s="4">
        <f t="shared" si="1095"/>
        <v>0.65847984926263714</v>
      </c>
      <c r="I969" s="4">
        <f t="shared" si="1095"/>
        <v>0.66129614188506192</v>
      </c>
      <c r="J969" s="4">
        <f t="shared" si="1095"/>
        <v>0.66483793034972893</v>
      </c>
      <c r="K969" s="4">
        <f t="shared" si="1095"/>
        <v>0.67523035198777981</v>
      </c>
      <c r="L969" s="4">
        <f t="shared" ref="L969" si="1096">IFERROR(L948/L916,"-")</f>
        <v>0.68122543696276538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>
        <f t="shared" si="1099"/>
        <v>0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219.63038989360444</v>
      </c>
      <c r="G972" s="3">
        <f>[1]Residential!C$26</f>
        <v>218.95224995715466</v>
      </c>
      <c r="H972" s="3">
        <f>[1]Residential!D$26</f>
        <v>219.68116153295054</v>
      </c>
      <c r="I972" s="3">
        <f>[1]Residential!E$26</f>
        <v>200.42837558919013</v>
      </c>
      <c r="J972" s="3">
        <f>[2]Residential!F$26</f>
        <v>201.69712808106991</v>
      </c>
      <c r="K972" s="3">
        <f>[2]Residential!G$26</f>
        <v>195.48260761151394</v>
      </c>
      <c r="L972" s="3">
        <f>[2]Residential!H$26</f>
        <v>180.36121835397367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69.47152815723193</v>
      </c>
      <c r="G973" s="1">
        <f>[1]Residential!C$15</f>
        <v>70.027173866662793</v>
      </c>
      <c r="H973" s="1">
        <f>[1]Residential!D$15</f>
        <v>69.810715902254827</v>
      </c>
      <c r="I973" s="1">
        <f>[1]Residential!E$15</f>
        <v>67.72791955081351</v>
      </c>
      <c r="J973" s="1">
        <f>[2]Residential!F$15</f>
        <v>74.729978909393665</v>
      </c>
      <c r="K973" s="1">
        <f>[2]Residential!G$15</f>
        <v>75.511714062997243</v>
      </c>
      <c r="L973" s="1">
        <f>[2]Residential!H$15</f>
        <v>71.236581783904967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15.334068507343424</v>
      </c>
      <c r="G974" s="1">
        <f t="shared" ref="G974:K974" si="1101">SUM(G975:G976)</f>
        <v>15.080545233078304</v>
      </c>
      <c r="H974" s="1">
        <f t="shared" si="1101"/>
        <v>11.616144837946356</v>
      </c>
      <c r="I974" s="1">
        <f t="shared" si="1101"/>
        <v>13.106523137016126</v>
      </c>
      <c r="J974" s="1">
        <f t="shared" si="1101"/>
        <v>14.22950160080822</v>
      </c>
      <c r="K974" s="1">
        <f t="shared" si="1101"/>
        <v>15.41021486591109</v>
      </c>
      <c r="L974" s="1">
        <f t="shared" ref="L974" si="1102">SUM(L975:L976)</f>
        <v>14.159538190451512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9.3774394628635314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8.2904275599261368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0.90374634333638082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0.22914972928692831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3.3745520927956581E-2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2.1510427169573951E-2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1.968268940193587E-2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5.9566290444798931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6.7901176731521682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10.712398494609975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12.877373407729197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14.195756079880264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15.388704438741517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14.139855501049576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9.5605052033487077</v>
      </c>
      <c r="G977" s="1">
        <f t="shared" ref="G977:K977" si="1106">SUM(G978:G979)</f>
        <v>10.085416610964417</v>
      </c>
      <c r="H977" s="1">
        <f t="shared" si="1106"/>
        <v>8.6711367125047367</v>
      </c>
      <c r="I977" s="1">
        <f t="shared" si="1106"/>
        <v>7.7012756178446233</v>
      </c>
      <c r="J977" s="1">
        <f t="shared" si="1106"/>
        <v>8.8564292418996047</v>
      </c>
      <c r="K977" s="1">
        <f t="shared" si="1106"/>
        <v>9.5999862677178243</v>
      </c>
      <c r="L977" s="1">
        <f t="shared" ref="L977" si="1107">SUM(L978:L979)</f>
        <v>9.7745640846493043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8.4114432546920828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8.7989361459092343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6.0594201068162699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4.1402415107855282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4.180124680098225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3.9130975631427982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3.4296192180493419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1.1490619486566245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1.2864804650551829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2.611716605688466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3.5610341070590952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4.6763045618013797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5.6868887045750265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6.3449448665999624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44.576954446539794</v>
      </c>
      <c r="G980" s="1">
        <f>[1]Residential!C$3-([1]Residential!C$10-[1]Residential!C$244)</f>
        <v>44.86121202262008</v>
      </c>
      <c r="H980" s="1">
        <f>[1]Residential!D$3-([1]Residential!D$10-[1]Residential!D$244)</f>
        <v>49.523434351803729</v>
      </c>
      <c r="I980" s="1">
        <f>[1]Residential!E$3-([1]Residential!E$10-[1]Residential!E$244)</f>
        <v>46.920120795952762</v>
      </c>
      <c r="J980" s="1">
        <f>[2]Residential!F$3-([2]Residential!F$10-[2]Residential!F$244)</f>
        <v>51.644048066685841</v>
      </c>
      <c r="K980" s="1">
        <f>[2]Residential!G$3-([2]Residential!G$10-[2]Residential!G$244)</f>
        <v>50.501512929368332</v>
      </c>
      <c r="L980" s="1">
        <f>[2]Residential!H$3-([2]Residential!H$10-[2]Residential!H$244)</f>
        <v>47.302479508804154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60.232445624915954</v>
      </c>
      <c r="G981" s="1">
        <f>SUM([1]Residential!C$16:C$17)</f>
        <v>51.320629800815716</v>
      </c>
      <c r="H981" s="1">
        <f>SUM([1]Residential!D$16:D$17)</f>
        <v>49.446888836138271</v>
      </c>
      <c r="I981" s="1">
        <f>SUM([1]Residential!E$16:E$17)</f>
        <v>24.337691069186448</v>
      </c>
      <c r="J981" s="1">
        <f>SUM([2]Residential!F$16:F$17)</f>
        <v>16.161629746119779</v>
      </c>
      <c r="K981" s="1">
        <f>SUM([2]Residential!G$16:G$17)</f>
        <v>6.8672089492179351</v>
      </c>
      <c r="L981" s="1">
        <f>SUM([2]Residential!H$16:H$17)</f>
        <v>1.0722889576861783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60.232445624915954</v>
      </c>
      <c r="G982" s="1">
        <f>[1]Residential!C$16</f>
        <v>51.320629800815716</v>
      </c>
      <c r="H982" s="1">
        <f>[1]Residential!D$16</f>
        <v>49.44595041940957</v>
      </c>
      <c r="I982" s="1">
        <f>[1]Residential!E$16</f>
        <v>24.330288031316716</v>
      </c>
      <c r="J982" s="1">
        <f>[2]Residential!F$16</f>
        <v>16.16030073693975</v>
      </c>
      <c r="K982" s="1">
        <f>[2]Residential!G$16</f>
        <v>6.8662592889481546</v>
      </c>
      <c r="L982" s="1">
        <f>[2]Residential!H$16</f>
        <v>1.6670377680055797E-5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9.3841672870306422E-4</v>
      </c>
      <c r="I983" s="1">
        <f>[1]Residential!E$17</f>
        <v>7.4030378697324548E-3</v>
      </c>
      <c r="J983" s="1">
        <f>[2]Residential!F$17</f>
        <v>1.3290091800282056E-3</v>
      </c>
      <c r="K983" s="1">
        <f>[2]Residential!G$17</f>
        <v>9.4966026978086948E-4</v>
      </c>
      <c r="L983" s="1">
        <f>[2]Residential!H$17</f>
        <v>1.0722722873084982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50.371794362093439</v>
      </c>
      <c r="G984" s="1">
        <f t="shared" ref="G984:K984" si="1110">SUM(G986,G988)</f>
        <v>43.127789614732549</v>
      </c>
      <c r="H984" s="1">
        <f t="shared" si="1110"/>
        <v>40.515797971487537</v>
      </c>
      <c r="I984" s="1">
        <f t="shared" si="1110"/>
        <v>20.390622859052478</v>
      </c>
      <c r="J984" s="1">
        <f t="shared" si="1110"/>
        <v>13.349616900504108</v>
      </c>
      <c r="K984" s="1">
        <f t="shared" si="1110"/>
        <v>5.2810509892283317</v>
      </c>
      <c r="L984" s="1">
        <f t="shared" ref="L984" si="1111">SUM(L986,L988)</f>
        <v>0.81570392538576986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50.371794362093439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43.127789614732549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40.515797971487537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20.390622859052478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13.349616900504108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5.2810509892283317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0.81570392538576986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50.371794362093439</v>
      </c>
      <c r="G986" s="1">
        <f t="shared" ref="G986:L986" si="1112">G987</f>
        <v>43.127789614732549</v>
      </c>
      <c r="H986" s="1">
        <f t="shared" si="1112"/>
        <v>40.515029051470769</v>
      </c>
      <c r="I986" s="1">
        <f t="shared" si="1112"/>
        <v>20.384420440228777</v>
      </c>
      <c r="J986" s="1">
        <f t="shared" si="1112"/>
        <v>13.348519129815797</v>
      </c>
      <c r="K986" s="1">
        <f t="shared" si="1112"/>
        <v>5.2803206773440943</v>
      </c>
      <c r="L986" s="1">
        <f t="shared" si="1112"/>
        <v>1.26813695262024E-5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50.371794362093439</v>
      </c>
      <c r="G987" s="1">
        <f t="shared" ref="G987:K987" si="1113">G985*IFERROR(G982/G981,0)</f>
        <v>43.127789614732549</v>
      </c>
      <c r="H987" s="1">
        <f t="shared" si="1113"/>
        <v>40.515029051470769</v>
      </c>
      <c r="I987" s="1">
        <f t="shared" si="1113"/>
        <v>20.384420440228777</v>
      </c>
      <c r="J987" s="1">
        <f t="shared" si="1113"/>
        <v>13.348519129815797</v>
      </c>
      <c r="K987" s="1">
        <f t="shared" si="1113"/>
        <v>5.2803206773440943</v>
      </c>
      <c r="L987" s="1">
        <f t="shared" ref="L987" si="1114">L985*IFERROR(L982/L981,0)</f>
        <v>1.26813695262024E-5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7.6892001676753807E-4</v>
      </c>
      <c r="I988" s="1">
        <f t="shared" si="1115"/>
        <v>6.2024188237010947E-3</v>
      </c>
      <c r="J988" s="1">
        <f t="shared" si="1115"/>
        <v>1.0977706883110727E-3</v>
      </c>
      <c r="K988" s="1">
        <f t="shared" si="1115"/>
        <v>7.3031188423744453E-4</v>
      </c>
      <c r="L988" s="1">
        <f t="shared" si="1115"/>
        <v>0.8156912440162436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7.6892001676753807E-4</v>
      </c>
      <c r="I989" s="1">
        <f t="shared" si="1116"/>
        <v>6.2024188237010947E-3</v>
      </c>
      <c r="J989" s="1">
        <f t="shared" si="1116"/>
        <v>1.0977706883110727E-3</v>
      </c>
      <c r="K989" s="1">
        <f t="shared" si="1116"/>
        <v>7.3031188423744453E-4</v>
      </c>
      <c r="L989" s="1">
        <f t="shared" ref="L989" si="1117">L985-L987</f>
        <v>0.8156912440162436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9.8606512628225165</v>
      </c>
      <c r="G990" s="1">
        <f t="shared" ref="G990:L990" si="1118">G991</f>
        <v>8.1928401860831652</v>
      </c>
      <c r="H990" s="1">
        <f t="shared" si="1118"/>
        <v>8.9310908646507343</v>
      </c>
      <c r="I990" s="1">
        <f t="shared" si="1118"/>
        <v>3.9470682101339736</v>
      </c>
      <c r="J990" s="1">
        <f t="shared" si="1118"/>
        <v>2.8120128456156683</v>
      </c>
      <c r="K990" s="1">
        <f t="shared" si="1118"/>
        <v>1.5861579599896038</v>
      </c>
      <c r="L990" s="1">
        <f t="shared" si="1118"/>
        <v>0.25658503230040852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9.8606512628225165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8.1928401860831652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8.9310908646507343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3.9470682101339736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2.8120128456156683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1.5861579599896038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0.25658503230040852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9.8606512628225165</v>
      </c>
      <c r="G992" s="1">
        <f t="shared" ref="G992:K992" si="1119">IFERROR(G982/G981,0)*G991</f>
        <v>8.1928401860831652</v>
      </c>
      <c r="H992" s="1">
        <f t="shared" si="1119"/>
        <v>8.9309213679388044</v>
      </c>
      <c r="I992" s="1">
        <f t="shared" si="1119"/>
        <v>3.9458675910879446</v>
      </c>
      <c r="J992" s="1">
        <f t="shared" si="1119"/>
        <v>2.8117816071239514</v>
      </c>
      <c r="K992" s="1">
        <f t="shared" si="1119"/>
        <v>1.5859386116040606</v>
      </c>
      <c r="L992" s="1">
        <f t="shared" ref="L992" si="1120">IFERROR(L982/L981,0)*L991</f>
        <v>3.9890081538533972E-6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1.6949671192989513E-4</v>
      </c>
      <c r="I993" s="1">
        <f t="shared" si="1121"/>
        <v>1.2006190460289723E-3</v>
      </c>
      <c r="J993" s="1">
        <f t="shared" si="1121"/>
        <v>2.3123849171691191E-4</v>
      </c>
      <c r="K993" s="1">
        <f t="shared" si="1121"/>
        <v>2.1934838554327207E-4</v>
      </c>
      <c r="L993" s="1">
        <f t="shared" ref="L993" si="1122">L991-L992</f>
        <v>0.25658104329225467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47.002426676525374</v>
      </c>
      <c r="G994" s="1">
        <f t="shared" ref="G994:K994" si="1123">SUM(G995:G996)</f>
        <v>48.174901284785975</v>
      </c>
      <c r="H994" s="1">
        <f t="shared" si="1123"/>
        <v>47.0731528004181</v>
      </c>
      <c r="I994" s="1">
        <f t="shared" si="1123"/>
        <v>39.059686485225733</v>
      </c>
      <c r="J994" s="1">
        <f t="shared" si="1123"/>
        <v>31.109479194443356</v>
      </c>
      <c r="K994" s="1">
        <f t="shared" si="1123"/>
        <v>22.804975105433844</v>
      </c>
      <c r="L994" s="1">
        <f t="shared" ref="L994" si="1124">SUM(L995:L996)</f>
        <v>15.944347765387453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46.704322034994128</v>
      </c>
      <c r="G995" s="1">
        <f>[1]Residential!C$18</f>
        <v>45.938221712672899</v>
      </c>
      <c r="H995" s="1">
        <f>[1]Residential!D$18</f>
        <v>46.20998776189316</v>
      </c>
      <c r="I995" s="1">
        <f>[1]Residential!E$18</f>
        <v>38.100277450168925</v>
      </c>
      <c r="J995" s="1">
        <f>[2]Residential!F$18</f>
        <v>30.248671202112035</v>
      </c>
      <c r="K995" s="1">
        <f>[2]Residential!G$18</f>
        <v>17.242081286542394</v>
      </c>
      <c r="L995" s="1">
        <f>[2]Residential!H$18</f>
        <v>10.070070842947406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0.29810464153124322</v>
      </c>
      <c r="G996" s="1">
        <f>[1]Residential!C$19</f>
        <v>2.2366795721130726</v>
      </c>
      <c r="H996" s="1">
        <f>[1]Residential!D$19</f>
        <v>0.86316503852493776</v>
      </c>
      <c r="I996" s="1">
        <f>[1]Residential!E$19</f>
        <v>0.95940903505680564</v>
      </c>
      <c r="J996" s="1">
        <f>[2]Residential!F$19</f>
        <v>0.86080799233132133</v>
      </c>
      <c r="K996" s="1">
        <f>[2]Residential!G$19</f>
        <v>5.5628938188914505</v>
      </c>
      <c r="L996" s="1">
        <f>[2]Residential!H$19</f>
        <v>5.874276922440048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38.494989678550937</v>
      </c>
      <c r="G997" s="1">
        <f t="shared" ref="G997:K997" si="1127">SUM(G998:G999)</f>
        <v>41.231089967808501</v>
      </c>
      <c r="H997" s="1">
        <f t="shared" si="1127"/>
        <v>36.682462971984215</v>
      </c>
      <c r="I997" s="1">
        <f t="shared" si="1127"/>
        <v>31.470081413763374</v>
      </c>
      <c r="J997" s="1">
        <f t="shared" si="1127"/>
        <v>24.66017618467793</v>
      </c>
      <c r="K997" s="1">
        <f t="shared" si="1127"/>
        <v>17.507103595564814</v>
      </c>
      <c r="L997" s="1">
        <f t="shared" ref="L997" si="1128">SUM(L998:L999)</f>
        <v>12.194091604612963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38.494989678550937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41.231089967808501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33.913283331973275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24.405497805047055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15.73463666236362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6.8909696426972786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2.6441867360483062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2.7691796400109427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7.0645836087163207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8.9255395223143115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10.616133952867537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9.5499048685646564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38.250841962990442</v>
      </c>
      <c r="G1000" s="1">
        <f t="shared" ref="G1000:K1000" si="1129">SUM(G1001:G1002)</f>
        <v>39.316799866376002</v>
      </c>
      <c r="H1000" s="1">
        <f t="shared" si="1129"/>
        <v>36.0098286213885</v>
      </c>
      <c r="I1000" s="1">
        <f t="shared" si="1129"/>
        <v>30.697093119201462</v>
      </c>
      <c r="J1000" s="1">
        <f t="shared" si="1129"/>
        <v>23.977822210849247</v>
      </c>
      <c r="K1000" s="1">
        <f t="shared" si="1129"/>
        <v>13.236537285880303</v>
      </c>
      <c r="L1000" s="1">
        <f t="shared" ref="L1000" si="1130">SUM(L1001:L1002)</f>
        <v>7.7014982444381452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38.250841962990442</v>
      </c>
      <c r="G1001" s="1">
        <f t="shared" ref="G1001:K1001" si="1131">G998-G1004</f>
        <v>39.316799866376002</v>
      </c>
      <c r="H1001" s="1">
        <f t="shared" si="1131"/>
        <v>33.291426524593895</v>
      </c>
      <c r="I1001" s="1">
        <f t="shared" si="1131"/>
        <v>23.806034337564341</v>
      </c>
      <c r="J1001" s="1">
        <f t="shared" si="1131"/>
        <v>15.299254864078444</v>
      </c>
      <c r="K1001" s="1">
        <f t="shared" si="1131"/>
        <v>5.21003237991573</v>
      </c>
      <c r="L1001" s="1">
        <f t="shared" ref="L1001" si="1132">L998-L1004</f>
        <v>1.6700054555879329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2.7184020967946045</v>
      </c>
      <c r="I1002" s="1">
        <f t="shared" si="1133"/>
        <v>6.8910587816371187</v>
      </c>
      <c r="J1002" s="1">
        <f t="shared" si="1133"/>
        <v>8.6785673467708015</v>
      </c>
      <c r="K1002" s="1">
        <f t="shared" si="1133"/>
        <v>8.0265049059645719</v>
      </c>
      <c r="L1002" s="1">
        <f t="shared" ref="L1002" si="1134">L999-L1005</f>
        <v>6.0314927888502119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0.24414771556049492</v>
      </c>
      <c r="G1003" s="1">
        <f t="shared" ref="G1003:K1003" si="1135">SUM(G1004:G1005)</f>
        <v>1.9142901014324978</v>
      </c>
      <c r="H1003" s="1">
        <f t="shared" si="1135"/>
        <v>0.67263435059572063</v>
      </c>
      <c r="I1003" s="1">
        <f t="shared" si="1135"/>
        <v>0.77298829456191798</v>
      </c>
      <c r="J1003" s="1">
        <f t="shared" si="1135"/>
        <v>0.68235397382868668</v>
      </c>
      <c r="K1003" s="1">
        <f t="shared" si="1135"/>
        <v>4.2705663096845132</v>
      </c>
      <c r="L1003" s="1">
        <f t="shared" ref="L1003" si="1136">SUM(L1004:L1005)</f>
        <v>4.4925933601748174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0.24414771556049492</v>
      </c>
      <c r="G1004" s="1">
        <f t="shared" ref="G1004:K1004" si="1137">G998*IFERROR(G996/G994,0)</f>
        <v>1.9142901014324978</v>
      </c>
      <c r="H1004" s="1">
        <f t="shared" si="1137"/>
        <v>0.62185680737938254</v>
      </c>
      <c r="I1004" s="1">
        <f t="shared" si="1137"/>
        <v>0.59946346748271562</v>
      </c>
      <c r="J1004" s="1">
        <f t="shared" si="1137"/>
        <v>0.43538179828517642</v>
      </c>
      <c r="K1004" s="1">
        <f t="shared" si="1137"/>
        <v>1.6809372627815484</v>
      </c>
      <c r="L1004" s="1">
        <f t="shared" ref="L1004" si="1138">L998*IFERROR(L996/L994,0)</f>
        <v>0.97418128046037322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5.0777543216338136E-2</v>
      </c>
      <c r="I1005" s="1">
        <f t="shared" si="1139"/>
        <v>0.1735248270792023</v>
      </c>
      <c r="J1005" s="1">
        <f t="shared" si="1139"/>
        <v>0.24697217554351023</v>
      </c>
      <c r="K1005" s="1">
        <f t="shared" si="1139"/>
        <v>2.5896290469029646</v>
      </c>
      <c r="L1005" s="1">
        <f t="shared" ref="L1005" si="1140">L999*IFERROR(L$996/L$994,0)</f>
        <v>3.518412079714444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8.5074369979744375</v>
      </c>
      <c r="G1006" s="1">
        <f t="shared" ref="G1006:K1006" si="1141">SUM(G1007:G1008)</f>
        <v>6.9438113169774738</v>
      </c>
      <c r="H1006" s="1">
        <f t="shared" si="1141"/>
        <v>10.390689828433882</v>
      </c>
      <c r="I1006" s="1">
        <f t="shared" si="1141"/>
        <v>7.5896050714623566</v>
      </c>
      <c r="J1006" s="1">
        <f t="shared" si="1141"/>
        <v>6.4493030097654245</v>
      </c>
      <c r="K1006" s="1">
        <f t="shared" si="1141"/>
        <v>5.2978715098690277</v>
      </c>
      <c r="L1006" s="1">
        <f t="shared" ref="L1006" si="1142">SUM(L1007:L1008)</f>
        <v>3.7502561607744909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8.5074369979744375</v>
      </c>
      <c r="G1007" s="1">
        <f t="shared" ref="G1007:K1007" si="1143">G994-G998-G999-G1008</f>
        <v>6.9438113169774738</v>
      </c>
      <c r="H1007" s="1">
        <f t="shared" si="1143"/>
        <v>9.8500182622343644</v>
      </c>
      <c r="I1007" s="1">
        <f t="shared" si="1143"/>
        <v>6.1687187629131479</v>
      </c>
      <c r="J1007" s="1">
        <f t="shared" si="1143"/>
        <v>4.3485069368577882</v>
      </c>
      <c r="K1007" s="1">
        <f t="shared" si="1143"/>
        <v>2.665300380238905</v>
      </c>
      <c r="L1007" s="1">
        <f t="shared" ref="L1007" si="1144">L994-L998-L999-L1008</f>
        <v>1.2336830508796237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0.54067156619951751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1.4208863085492085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2.1007960729076367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2.6325711296301226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2.5165731098948672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8.4534800720036891</v>
      </c>
      <c r="G1009" s="1">
        <f t="shared" ref="G1009:K1009" si="1145">SUM(G1010:G1011)</f>
        <v>6.621421846296899</v>
      </c>
      <c r="H1009" s="1">
        <f t="shared" si="1145"/>
        <v>10.200159140504665</v>
      </c>
      <c r="I1009" s="1">
        <f t="shared" si="1145"/>
        <v>7.403184330967469</v>
      </c>
      <c r="J1009" s="1">
        <f t="shared" si="1145"/>
        <v>6.2708489912627901</v>
      </c>
      <c r="K1009" s="1">
        <f t="shared" si="1145"/>
        <v>4.0055440006620904</v>
      </c>
      <c r="L1009" s="1">
        <f t="shared" ref="L1009" si="1146">SUM(L1010:L1011)</f>
        <v>2.3685725985092603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8.4534800720036891</v>
      </c>
      <c r="G1010" s="1">
        <f t="shared" ref="G1010:K1010" si="1147">G1007-G1013</f>
        <v>6.621421846296899</v>
      </c>
      <c r="H1010" s="1">
        <f t="shared" si="1147"/>
        <v>9.6694016923428023</v>
      </c>
      <c r="I1010" s="1">
        <f t="shared" si="1147"/>
        <v>6.0171987419293158</v>
      </c>
      <c r="J1010" s="1">
        <f t="shared" si="1147"/>
        <v>4.2281825333999512</v>
      </c>
      <c r="K1010" s="1">
        <f t="shared" si="1147"/>
        <v>2.0151447478748428</v>
      </c>
      <c r="L1010" s="1">
        <f t="shared" ref="L1010" si="1148">L1007-L1013</f>
        <v>0.77916487415497671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0.53075744816186188</v>
      </c>
      <c r="I1011" s="1">
        <f t="shared" si="1149"/>
        <v>1.3859855890381532</v>
      </c>
      <c r="J1011" s="1">
        <f t="shared" si="1149"/>
        <v>2.0426664578628388</v>
      </c>
      <c r="K1011" s="1">
        <f t="shared" si="1149"/>
        <v>1.9903992527872476</v>
      </c>
      <c r="L1011" s="1">
        <f t="shared" ref="L1011" si="1150">L1008-L1014</f>
        <v>1.5894077243542837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5.3956925970748325E-2</v>
      </c>
      <c r="G1012" s="1">
        <f t="shared" si="1151"/>
        <v>0.32238947068057466</v>
      </c>
      <c r="H1012" s="1">
        <f t="shared" si="1151"/>
        <v>0.19053068792921704</v>
      </c>
      <c r="I1012" s="1">
        <f t="shared" si="1151"/>
        <v>0.18642074049488766</v>
      </c>
      <c r="J1012" s="1">
        <f t="shared" si="1151"/>
        <v>0.1784540185026347</v>
      </c>
      <c r="K1012" s="1">
        <f t="shared" si="1151"/>
        <v>1.2923275092069373</v>
      </c>
      <c r="L1012" s="1">
        <f t="shared" ref="L1012" si="1152">SUM(L1013:L1014)</f>
        <v>1.3816835622652306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5.3956925970748325E-2</v>
      </c>
      <c r="G1013" s="1">
        <f t="shared" ref="G1013:K1013" si="1153">G1007*IFERROR(G$996/G$994,0)</f>
        <v>0.32238947068057466</v>
      </c>
      <c r="H1013" s="1">
        <f t="shared" si="1153"/>
        <v>0.18061656989156141</v>
      </c>
      <c r="I1013" s="1">
        <f t="shared" si="1153"/>
        <v>0.15152002098383233</v>
      </c>
      <c r="J1013" s="1">
        <f t="shared" si="1153"/>
        <v>0.12032440345783663</v>
      </c>
      <c r="K1013" s="1">
        <f t="shared" si="1153"/>
        <v>0.65015563236406226</v>
      </c>
      <c r="L1013" s="1">
        <f t="shared" ref="L1013" si="1154">L1007*IFERROR(L$996/L$994,0)</f>
        <v>0.45451817672464701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9.9141180376556351E-3</v>
      </c>
      <c r="I1014" s="1">
        <f t="shared" si="1155"/>
        <v>3.4900719511055348E-2</v>
      </c>
      <c r="J1014" s="1">
        <f t="shared" si="1155"/>
        <v>5.8129615044798064E-2</v>
      </c>
      <c r="K1014" s="1">
        <f t="shared" si="1155"/>
        <v>0.64217187684287502</v>
      </c>
      <c r="L1014" s="1">
        <f t="shared" ref="L1014" si="1156">L1008*IFERROR(L$996/L$994,0)</f>
        <v>0.92716538554058359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0.10003085333320115</v>
      </c>
      <c r="G1015" s="1">
        <f>[1]Residential!C$20</f>
        <v>0.10001193872413756</v>
      </c>
      <c r="H1015" s="1">
        <f>[1]Residential!D$20</f>
        <v>2.6970780686892657E-2</v>
      </c>
      <c r="I1015" s="1">
        <f>[1]Residential!E$20</f>
        <v>2.3790407355146724E-4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0.10003085333320115</v>
      </c>
      <c r="G1016" s="1">
        <f t="shared" ref="G1016:G1017" si="1157">G1015</f>
        <v>0.10001193872413756</v>
      </c>
      <c r="H1016" s="1">
        <f t="shared" ref="H1016:H1017" si="1158">H1015</f>
        <v>2.6970780686892657E-2</v>
      </c>
      <c r="I1016" s="1">
        <f t="shared" ref="I1016:I1017" si="1159">I1015</f>
        <v>2.3790407355146724E-4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0.10003085333320115</v>
      </c>
      <c r="G1017" s="1">
        <f t="shared" si="1157"/>
        <v>0.10001193872413756</v>
      </c>
      <c r="H1017" s="1">
        <f t="shared" si="1158"/>
        <v>2.6970780686892657E-2</v>
      </c>
      <c r="I1017" s="1">
        <f t="shared" si="1159"/>
        <v>2.3790407355146724E-4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13.723481082941639</v>
      </c>
      <c r="G1020" s="1">
        <f t="shared" ref="G1020:K1020" si="1163">G1021+G1023</f>
        <v>15.204634650354421</v>
      </c>
      <c r="H1020" s="1">
        <f t="shared" si="1163"/>
        <v>16.94557876287239</v>
      </c>
      <c r="I1020" s="1">
        <f t="shared" si="1163"/>
        <v>15.00118580701681</v>
      </c>
      <c r="J1020" s="1">
        <f t="shared" si="1163"/>
        <v>12.888439839066674</v>
      </c>
      <c r="K1020" s="1">
        <f t="shared" si="1163"/>
        <v>10.850879447615394</v>
      </c>
      <c r="L1020" s="1">
        <f t="shared" ref="L1020" si="1164">L1021+L1023</f>
        <v>6.504859842828127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12.682333069067798</v>
      </c>
      <c r="G1021" s="1">
        <f t="shared" ref="G1021:L1021" si="1165">G1022</f>
        <v>14.010050173991349</v>
      </c>
      <c r="H1021" s="1">
        <f t="shared" si="1165"/>
        <v>14.228852236701366</v>
      </c>
      <c r="I1021" s="1">
        <f t="shared" si="1165"/>
        <v>12.42539386190702</v>
      </c>
      <c r="J1021" s="1">
        <f t="shared" si="1165"/>
        <v>10.483609577218038</v>
      </c>
      <c r="K1021" s="1">
        <f t="shared" si="1165"/>
        <v>8.6144586390554139</v>
      </c>
      <c r="L1021" s="1">
        <f t="shared" si="1165"/>
        <v>4.8745101966802284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12.682333069067798</v>
      </c>
      <c r="G1022" s="1">
        <f>[1]Residential!C$22-G1024-G1025</f>
        <v>14.010050173991349</v>
      </c>
      <c r="H1022" s="1">
        <f>[1]Residential!D$22-H1024-H1025</f>
        <v>14.228852236701366</v>
      </c>
      <c r="I1022" s="1">
        <f>[1]Residential!E$22-I1024-I1025</f>
        <v>12.42539386190702</v>
      </c>
      <c r="J1022" s="1">
        <f>[2]Residential!F$22-J1024-J1025</f>
        <v>10.483609577218038</v>
      </c>
      <c r="K1022" s="1">
        <f>[2]Residential!G$22-K1024-K1025</f>
        <v>8.6144586390554139</v>
      </c>
      <c r="L1022" s="1">
        <f>[2]Residential!H$22-L1024-L1025</f>
        <v>4.8745101966802284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1.0411480138738396</v>
      </c>
      <c r="G1023" s="1">
        <f t="shared" ref="G1023" si="1166">G1024</f>
        <v>1.1945844763630717</v>
      </c>
      <c r="H1023" s="1">
        <f t="shared" ref="H1023" si="1167">H1024</f>
        <v>2.7167265261710254</v>
      </c>
      <c r="I1023" s="1">
        <f t="shared" ref="I1023" si="1168">I1024</f>
        <v>2.5757919451097897</v>
      </c>
      <c r="J1023" s="1">
        <f t="shared" ref="J1023" si="1169">J1024</f>
        <v>2.4048302618486357</v>
      </c>
      <c r="K1023" s="1">
        <f t="shared" ref="K1023:L1023" si="1170">K1024</f>
        <v>2.236420808559981</v>
      </c>
      <c r="L1023" s="1">
        <f t="shared" si="1170"/>
        <v>1.6303496461478986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1.0411480138738396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1.1945844763630717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2.7167265261710254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2.5757919451097897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2.4048302618486357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2.236420808559981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1.6303496461478986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3.2685571165362637</v>
      </c>
      <c r="G1025" s="1">
        <f t="shared" ref="G1025:K1025" si="1171">G1026+G1028</f>
        <v>3.832167288020059</v>
      </c>
      <c r="H1025" s="1">
        <f t="shared" si="1171"/>
        <v>0.60987113624764266</v>
      </c>
      <c r="I1025" s="1">
        <f t="shared" si="1171"/>
        <v>0.76495539233414278</v>
      </c>
      <c r="J1025" s="1">
        <f t="shared" si="1171"/>
        <v>0.8277446267744526</v>
      </c>
      <c r="K1025" s="1">
        <f t="shared" si="1171"/>
        <v>0.89882752034823721</v>
      </c>
      <c r="L1025" s="1">
        <f t="shared" ref="L1025" si="1172">L1026+L1028</f>
        <v>0.80452449537025084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2.9967236951974243</v>
      </c>
      <c r="G1026" s="1">
        <f t="shared" ref="G1026:L1026" si="1173">G1027</f>
        <v>3.520388118912166</v>
      </c>
      <c r="H1026" s="1">
        <f t="shared" si="1173"/>
        <v>0.4435486569459936</v>
      </c>
      <c r="I1026" s="1">
        <f t="shared" si="1173"/>
        <v>0.54324201643603387</v>
      </c>
      <c r="J1026" s="1">
        <f t="shared" si="1173"/>
        <v>0.56844822201043077</v>
      </c>
      <c r="K1026" s="1">
        <f t="shared" si="1173"/>
        <v>0.60259501691284478</v>
      </c>
      <c r="L1026" s="1">
        <f t="shared" si="1173"/>
        <v>0.50317472700237564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2.9967236951974243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3.520388118912166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0.4435486569459936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0.54324201643603387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0.56844822201043077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0.60259501691284478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0.50317472700237564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0.27183342133883914</v>
      </c>
      <c r="G1028" s="1">
        <f t="shared" ref="G1028:L1028" si="1174">G1029</f>
        <v>0.31177916910789288</v>
      </c>
      <c r="H1028" s="1">
        <f t="shared" si="1174"/>
        <v>0.16632247930164906</v>
      </c>
      <c r="I1028" s="1">
        <f t="shared" si="1174"/>
        <v>0.22171337589810897</v>
      </c>
      <c r="J1028" s="1">
        <f t="shared" si="1174"/>
        <v>0.25929640476402183</v>
      </c>
      <c r="K1028" s="1">
        <f t="shared" si="1174"/>
        <v>0.29623250343539242</v>
      </c>
      <c r="L1028" s="1">
        <f t="shared" si="1174"/>
        <v>0.30134976836787525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0.27183342133883914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0.31177916910789288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0.16632247930164906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0.22171337589810897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0.25929640476402183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0.29623250343539242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0.30134976836787525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2.5069286589027415</v>
      </c>
      <c r="G1030" s="1">
        <f>[1]Residential!C$23</f>
        <v>2.9289323022695024</v>
      </c>
      <c r="H1030" s="1">
        <f>[1]Residential!D$23</f>
        <v>0.96444923400382954</v>
      </c>
      <c r="I1030" s="1">
        <f>[1]Residential!E$23</f>
        <v>1.0950024147449815</v>
      </c>
      <c r="J1030" s="1">
        <f>[2]Residential!F$23</f>
        <v>1.1799032717922744</v>
      </c>
      <c r="K1030" s="1">
        <f>[2]Residential!G$23</f>
        <v>1.2964400627388655</v>
      </c>
      <c r="L1030" s="1">
        <f>[2]Residential!H$23</f>
        <v>1.3292979780928655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0.78544063424289079</v>
      </c>
      <c r="G1031" s="1">
        <f t="shared" ref="G1031:L1031" si="1175">G1032</f>
        <v>0.94185363396680555</v>
      </c>
      <c r="H1031" s="1">
        <f t="shared" si="1175"/>
        <v>3.1977953162283961E-2</v>
      </c>
      <c r="I1031" s="1">
        <f t="shared" si="1175"/>
        <v>3.4980842181890168E-2</v>
      </c>
      <c r="J1031" s="1">
        <f t="shared" si="1175"/>
        <v>3.4719238862404786E-2</v>
      </c>
      <c r="K1031" s="1">
        <f t="shared" si="1175"/>
        <v>3.3870577684829789E-2</v>
      </c>
      <c r="L1031" s="1">
        <f t="shared" si="1175"/>
        <v>3.0358684231225369E-2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0.78544063424289079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0.94185363396680555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3.1977953162283961E-2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3.4980842181890168E-2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3.4719238862404786E-2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3.3870577684829789E-2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3.0358684231225369E-2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176">G1030-G1031</f>
        <v>1.9870786683026969</v>
      </c>
      <c r="H1033" s="1">
        <f t="shared" si="1176"/>
        <v>0.93247128084154562</v>
      </c>
      <c r="I1033" s="1">
        <f t="shared" si="1176"/>
        <v>1.0600215725630913</v>
      </c>
      <c r="J1033" s="1">
        <f t="shared" si="1176"/>
        <v>1.1451840329298697</v>
      </c>
      <c r="K1033" s="1">
        <f t="shared" si="1176"/>
        <v>1.2625694850540357</v>
      </c>
      <c r="L1033" s="1">
        <f t="shared" ref="L1033" si="1177">L1030-L1031</f>
        <v>1.2989392938616402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178">G1033</f>
        <v>1.9870786683026969</v>
      </c>
      <c r="H1034" s="1">
        <f t="shared" si="1178"/>
        <v>0.93247128084154562</v>
      </c>
      <c r="I1034" s="1">
        <f t="shared" si="1178"/>
        <v>1.0600215725630913</v>
      </c>
      <c r="J1034" s="1">
        <f t="shared" si="1178"/>
        <v>1.1451840329298697</v>
      </c>
      <c r="K1034" s="1">
        <f t="shared" si="1178"/>
        <v>1.2625694850540357</v>
      </c>
      <c r="L1034" s="1">
        <f t="shared" ref="L1034" si="1179">L1033</f>
        <v>1.2989392938616402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4.2148526458665542E-2</v>
      </c>
      <c r="J1035" s="1">
        <f>[2]Residential!F$24</f>
        <v>7.0425429415018632E-3</v>
      </c>
      <c r="K1035" s="1">
        <f>[2]Residential!G$24</f>
        <v>1.3860382651636803E-2</v>
      </c>
      <c r="L1035" s="1">
        <f>[2]Residential!H$24</f>
        <v>1.5830384548698419E-2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4.2148526458665542E-2</v>
      </c>
      <c r="J1036" s="1">
        <f t="shared" si="1180"/>
        <v>7.0425429415018632E-3</v>
      </c>
      <c r="K1036" s="1">
        <f t="shared" si="1180"/>
        <v>1.3860382651636803E-2</v>
      </c>
      <c r="L1036" s="1">
        <f t="shared" ref="L1036" si="1181">L1035-L1038-L1040</f>
        <v>1.5830384548698419E-2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8.1291150788064428</v>
      </c>
      <c r="G1042" s="1">
        <f>[1]Residential!C$21</f>
        <v>9.7142870061617934</v>
      </c>
      <c r="H1042" s="1">
        <f>[1]Residential!D$21</f>
        <v>8.3981523541129501</v>
      </c>
      <c r="I1042" s="1">
        <f>[1]Residential!E$21</f>
        <v>11.104482969678028</v>
      </c>
      <c r="J1042" s="1">
        <f>[2]Residential!F$21</f>
        <v>12.162311925215169</v>
      </c>
      <c r="K1042" s="1">
        <f>[2]Residential!G$21</f>
        <v>13.354831872395454</v>
      </c>
      <c r="L1042" s="1">
        <f>[2]Residential!H$21</f>
        <v>13.404689206501402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0.20988316315741937</v>
      </c>
      <c r="G1043" s="1">
        <f t="shared" ref="G1043:K1043" si="1186">SUM(G1044:G1046)</f>
        <v>6.4013181720045401E-2</v>
      </c>
      <c r="H1043" s="1">
        <f t="shared" si="1186"/>
        <v>0.12351622719015284</v>
      </c>
      <c r="I1043" s="1">
        <f t="shared" si="1186"/>
        <v>0</v>
      </c>
      <c r="J1043" s="1">
        <f t="shared" si="1186"/>
        <v>0.82235636817336832</v>
      </c>
      <c r="K1043" s="1">
        <f t="shared" si="1186"/>
        <v>1.5551868386795675</v>
      </c>
      <c r="L1043" s="1">
        <f t="shared" ref="L1043" si="1187">SUM(L1044:L1046)</f>
        <v>0.25841517172306416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0.20988316315741937</v>
      </c>
      <c r="G1044" s="1">
        <f t="shared" si="1188"/>
        <v>6.4013181720045401E-2</v>
      </c>
      <c r="H1044" s="1">
        <f t="shared" si="1188"/>
        <v>0.12351622719015284</v>
      </c>
      <c r="I1044" s="1">
        <f t="shared" si="1188"/>
        <v>0</v>
      </c>
      <c r="J1044" s="1">
        <f t="shared" si="1188"/>
        <v>5.722067898878385E-2</v>
      </c>
      <c r="K1044" s="1">
        <f t="shared" si="1188"/>
        <v>1.2690296928536089E-2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0.76513568918458452</v>
      </c>
      <c r="K1046" s="1">
        <f t="shared" si="1191"/>
        <v>1.5424965417510315</v>
      </c>
      <c r="L1046" s="1">
        <f t="shared" ref="L1046" si="1192">SUM(L285,L286)</f>
        <v>0.25841517172306416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7.9192319156490232</v>
      </c>
      <c r="G1047" s="1">
        <f t="shared" ref="G1047:K1047" si="1193">G1042-G1043</f>
        <v>9.6502738244417472</v>
      </c>
      <c r="H1047" s="1">
        <f t="shared" si="1193"/>
        <v>8.2746361269227968</v>
      </c>
      <c r="I1047" s="1">
        <f t="shared" si="1193"/>
        <v>11.104482969678028</v>
      </c>
      <c r="J1047" s="1">
        <f t="shared" si="1193"/>
        <v>11.339955557041801</v>
      </c>
      <c r="K1047" s="1">
        <f t="shared" si="1193"/>
        <v>11.799645033715887</v>
      </c>
      <c r="L1047" s="1">
        <f t="shared" ref="L1047" si="1194">L1042-L1043</f>
        <v>13.146274034778338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15.195876644410834</v>
      </c>
      <c r="G1048" s="1">
        <f>[1]Residential!C$25</f>
        <v>17.649511819360285</v>
      </c>
      <c r="H1048" s="1">
        <f>[1]Residential!D$25</f>
        <v>26.405381726215662</v>
      </c>
      <c r="I1048" s="1">
        <f>[1]Residential!E$25</f>
        <v>41.295065469658269</v>
      </c>
      <c r="J1048" s="1">
        <f>[2]Residential!F$25</f>
        <v>52.630598025323025</v>
      </c>
      <c r="K1048" s="1">
        <f>[2]Residential!G$25</f>
        <v>63.883870208115326</v>
      </c>
      <c r="L1048" s="1">
        <f>[2]Residential!H$25</f>
        <v>70.048797939653738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13.104583897855779</v>
      </c>
      <c r="G1049" s="1">
        <f t="shared" ref="G1049:K1049" si="1195">G1048-G1052</f>
        <v>15.300398490169524</v>
      </c>
      <c r="H1049" s="1">
        <f t="shared" si="1195"/>
        <v>23.556241330367229</v>
      </c>
      <c r="I1049" s="1">
        <f t="shared" si="1195"/>
        <v>35.547404704364766</v>
      </c>
      <c r="J1049" s="1">
        <f t="shared" si="1195"/>
        <v>43.544689890740784</v>
      </c>
      <c r="K1049" s="1">
        <f t="shared" si="1195"/>
        <v>51.552174108885175</v>
      </c>
      <c r="L1049" s="1">
        <f t="shared" ref="L1049" si="1196">L1048-L1052</f>
        <v>53.836993410389198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13.104583897855779</v>
      </c>
      <c r="G1050" s="1">
        <f t="shared" ref="G1050:K1050" si="1197">G1049-G1051</f>
        <v>15.300398490169524</v>
      </c>
      <c r="H1050" s="1">
        <f t="shared" si="1197"/>
        <v>21.172784425460719</v>
      </c>
      <c r="I1050" s="1">
        <f t="shared" si="1197"/>
        <v>28.920806101129472</v>
      </c>
      <c r="J1050" s="1">
        <f t="shared" si="1197"/>
        <v>34.902744910614068</v>
      </c>
      <c r="K1050" s="1">
        <f t="shared" si="1197"/>
        <v>40.962827463817703</v>
      </c>
      <c r="L1050" s="1">
        <f t="shared" ref="L1050" si="1198">L1049-L1051</f>
        <v>43.257376625983312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2.3834569049065082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6.6265986032352959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8.6419449801267145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10.58934664506747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10.579616784405882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2.0912927465550561</v>
      </c>
      <c r="G1052" s="1">
        <f t="shared" ref="G1052:K1052" si="1199">SUM(G1053:G1054)</f>
        <v>2.3491133291907618</v>
      </c>
      <c r="H1052" s="1">
        <f t="shared" si="1199"/>
        <v>2.8491403958484338</v>
      </c>
      <c r="I1052" s="1">
        <f t="shared" si="1199"/>
        <v>5.7476607652935048</v>
      </c>
      <c r="J1052" s="1">
        <f t="shared" si="1199"/>
        <v>9.0859081345822403</v>
      </c>
      <c r="K1052" s="1">
        <f t="shared" si="1199"/>
        <v>12.331696099230152</v>
      </c>
      <c r="L1052" s="1">
        <f t="shared" ref="L1052" si="1200">SUM(L1053:L1054)</f>
        <v>16.211804529264541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2.0912927465550561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2.3491133291907618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2.2971762488174985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3.8986831180995312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6.0220610540774002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8.1596113280425513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10.938279661984378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0.55196414703093544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1.8489776471939738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3.0638470805048397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4.1720847711876008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5.2735248672801625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156.12093687770451</v>
      </c>
      <c r="G1055" s="3">
        <f>[1]Residential!C$245</f>
        <v>162.39800958354641</v>
      </c>
      <c r="H1055" s="3">
        <f>[1]Residential!D$245</f>
        <v>147.54689137631874</v>
      </c>
      <c r="I1055" s="3">
        <f>[1]Residential!E$245</f>
        <v>145.94323275574402</v>
      </c>
      <c r="J1055" s="3">
        <f>[2]Residential!F$245</f>
        <v>150.81328661185151</v>
      </c>
      <c r="K1055" s="3">
        <f>[2]Residential!G$245</f>
        <v>153.88021919647187</v>
      </c>
      <c r="L1055" s="3">
        <f>[2]Residential!H$245</f>
        <v>155.90953906920089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129.14095656623883</v>
      </c>
      <c r="G1056" s="1">
        <f>[1]Residential!C$116</f>
        <v>136.46090974765966</v>
      </c>
      <c r="H1056" s="1">
        <f>[1]Residential!D$116</f>
        <v>125.87637498666756</v>
      </c>
      <c r="I1056" s="1">
        <f>[1]Residential!E$116</f>
        <v>123.84969173940918</v>
      </c>
      <c r="J1056" s="1">
        <f>[2]Residential!F$116</f>
        <v>124.70934341172619</v>
      </c>
      <c r="K1056" s="1">
        <f>[2]Residential!G$116</f>
        <v>124.26068411820197</v>
      </c>
      <c r="L1056" s="1">
        <f>[2]Residential!H$116</f>
        <v>123.47413750289557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27.969780432056027</v>
      </c>
      <c r="G1057" s="1">
        <f t="shared" ref="G1057:K1057" si="1203">SUM(G1058:G1059)</f>
        <v>29.966422345251523</v>
      </c>
      <c r="H1057" s="1">
        <f t="shared" si="1203"/>
        <v>32.71461376248768</v>
      </c>
      <c r="I1057" s="1">
        <f t="shared" si="1203"/>
        <v>42.008866765382677</v>
      </c>
      <c r="J1057" s="1">
        <f t="shared" si="1203"/>
        <v>49.130002041725469</v>
      </c>
      <c r="K1057" s="1">
        <f t="shared" si="1203"/>
        <v>56.371818312917888</v>
      </c>
      <c r="L1057" s="1">
        <f t="shared" ref="L1057" si="1204">SUM(L1058:L1059)</f>
        <v>57.415833494430132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8.9085674897203564</v>
      </c>
      <c r="G1058" s="1">
        <f>[1]Residential!C$102</f>
        <v>7.8759061819298264</v>
      </c>
      <c r="H1058" s="1">
        <f>[1]Residential!D$102</f>
        <v>0.82943084241698029</v>
      </c>
      <c r="I1058" s="1">
        <f>[1]Residential!E$102</f>
        <v>0.21068725652402101</v>
      </c>
      <c r="J1058" s="1">
        <f>[2]Residential!F$102</f>
        <v>3.15010512311295E-2</v>
      </c>
      <c r="K1058" s="1">
        <f>[2]Residential!G$102</f>
        <v>2.0286410358672274E-2</v>
      </c>
      <c r="L1058" s="1">
        <f>[2]Residential!H$102</f>
        <v>1.8601367397257103E-2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19.061212942335672</v>
      </c>
      <c r="G1059" s="1">
        <f>[1]Residential!C$104</f>
        <v>22.090516163321695</v>
      </c>
      <c r="H1059" s="1">
        <f>[1]Residential!D$104</f>
        <v>31.885182920070701</v>
      </c>
      <c r="I1059" s="1">
        <f>[1]Residential!E$104</f>
        <v>41.798179508858659</v>
      </c>
      <c r="J1059" s="1">
        <f>[2]Residential!F$104</f>
        <v>49.098500990494337</v>
      </c>
      <c r="K1059" s="1">
        <f>[2]Residential!G$104</f>
        <v>56.351531902559216</v>
      </c>
      <c r="L1059" s="1">
        <f>[2]Residential!H$104</f>
        <v>57.397232127032872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45.124732449375429</v>
      </c>
      <c r="G1060" s="1">
        <f t="shared" ref="G1060:L1060" si="1205">G1061</f>
        <v>38.635311529864616</v>
      </c>
      <c r="H1060" s="1">
        <f t="shared" si="1205"/>
        <v>34.597407280433458</v>
      </c>
      <c r="I1060" s="1">
        <f t="shared" si="1205"/>
        <v>17.724732600971546</v>
      </c>
      <c r="J1060" s="1">
        <f t="shared" si="1205"/>
        <v>11.620421513595062</v>
      </c>
      <c r="K1060" s="1">
        <f t="shared" si="1205"/>
        <v>4.6022445489740296</v>
      </c>
      <c r="L1060" s="1">
        <f t="shared" si="1205"/>
        <v>0.70988202273863876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45.124732449375429</v>
      </c>
      <c r="G1061" s="1">
        <f>[1]Residential!C$105</f>
        <v>38.635311529864616</v>
      </c>
      <c r="H1061" s="1">
        <f>[1]Residential!D$105</f>
        <v>34.597407280433458</v>
      </c>
      <c r="I1061" s="1">
        <f>[1]Residential!E$105</f>
        <v>17.724732600971546</v>
      </c>
      <c r="J1061" s="1">
        <f>[2]Residential!F$105</f>
        <v>11.620421513595062</v>
      </c>
      <c r="K1061" s="1">
        <f>[2]Residential!G$105</f>
        <v>4.6022445489740296</v>
      </c>
      <c r="L1061" s="1">
        <f>[2]Residential!H$105</f>
        <v>0.70988202273863876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36.570240194623402</v>
      </c>
      <c r="G1062" s="1">
        <f t="shared" ref="G1062:K1062" si="1206">SUM(G1063:G1064)</f>
        <v>39.169535469418108</v>
      </c>
      <c r="H1062" s="1">
        <f t="shared" si="1206"/>
        <v>36.848351092744977</v>
      </c>
      <c r="I1062" s="1">
        <f t="shared" si="1206"/>
        <v>36.507618357572085</v>
      </c>
      <c r="J1062" s="1">
        <f t="shared" si="1206"/>
        <v>32.275264838175161</v>
      </c>
      <c r="K1062" s="1">
        <f t="shared" si="1206"/>
        <v>27.642639386793604</v>
      </c>
      <c r="L1062" s="1">
        <f t="shared" ref="L1062" si="1207">SUM(L1063:L1064)</f>
        <v>22.617028307159565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36.570240194623402</v>
      </c>
      <c r="G1063" s="1">
        <f>[1]Residential!C$106</f>
        <v>39.169535469418108</v>
      </c>
      <c r="H1063" s="1">
        <f>[1]Residential!D$106</f>
        <v>31.695714547827524</v>
      </c>
      <c r="I1063" s="1">
        <f>[1]Residential!E$106</f>
        <v>22.816436145620465</v>
      </c>
      <c r="J1063" s="1">
        <f>[2]Residential!F$106</f>
        <v>14.707780335734132</v>
      </c>
      <c r="K1063" s="1">
        <f>[2]Residential!G$106</f>
        <v>6.4371587888585955</v>
      </c>
      <c r="L1063" s="1">
        <f>[2]Residential!H$106</f>
        <v>2.4875066541890276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5.1526365449174509</v>
      </c>
      <c r="I1064" s="1">
        <f>[1]Residential!E$107</f>
        <v>13.691182211951618</v>
      </c>
      <c r="J1064" s="1">
        <f>[2]Residential!F$107</f>
        <v>17.567484502441026</v>
      </c>
      <c r="K1064" s="1">
        <f>[2]Residential!G$107</f>
        <v>21.205480597935008</v>
      </c>
      <c r="L1064" s="1">
        <f>[2]Residential!H$107</f>
        <v>20.129521652970539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7.2022214399904735E-2</v>
      </c>
      <c r="G1065" s="1">
        <f t="shared" ref="G1065:L1065" si="1208">G1066</f>
        <v>7.2008595881379006E-2</v>
      </c>
      <c r="H1065" s="1">
        <f t="shared" si="1208"/>
        <v>2.1557763122038238E-2</v>
      </c>
      <c r="I1065" s="1">
        <f t="shared" si="1208"/>
        <v>1.9032325884117376E-4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7.2022214399904735E-2</v>
      </c>
      <c r="G1066" s="1">
        <f>[1]Residential!C$108</f>
        <v>7.2008595881379006E-2</v>
      </c>
      <c r="H1066" s="1">
        <f>[1]Residential!D$108</f>
        <v>2.1557763122038238E-2</v>
      </c>
      <c r="I1066" s="1">
        <f>[1]Residential!E$108</f>
        <v>1.9032325884117376E-4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6.3539959009895082</v>
      </c>
      <c r="G1067" s="1">
        <f>SUM([1]Residential!C$109:C$110)</f>
        <v>7.7404850754501888</v>
      </c>
      <c r="H1067" s="1">
        <f>SUM([1]Residential!D$109:D$110)</f>
        <v>5.9165475947607744</v>
      </c>
      <c r="I1067" s="1">
        <f>SUM([1]Residential!E$109:E$110)</f>
        <v>7.5774800703476881</v>
      </c>
      <c r="J1067" s="1">
        <f>SUM([2]Residential!F$109:F$110)</f>
        <v>8.0509088782381575</v>
      </c>
      <c r="K1067" s="1">
        <f>SUM([2]Residential!G$109:G$110)</f>
        <v>8.6211469944055796</v>
      </c>
      <c r="L1067" s="1">
        <f>SUM([2]Residential!H$109:H$110)</f>
        <v>8.2473736248285565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9.0200977587860984E-2</v>
      </c>
      <c r="G1068" s="1">
        <f>[1]Residential!C$109</f>
        <v>4.6584744819928164E-2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9.0200977587860984E-2</v>
      </c>
      <c r="G1069" s="1">
        <f t="shared" ref="G1069:K1069" si="1209">IFERROR(G$1068/G$1043,0)*G1044</f>
        <v>4.6584744819928164E-2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6.2637949234016475</v>
      </c>
      <c r="G1072" s="1">
        <f t="shared" ref="G1072:K1072" si="1215">G1067-G1068</f>
        <v>7.6939003306302602</v>
      </c>
      <c r="H1072" s="1">
        <f t="shared" si="1215"/>
        <v>5.9165475947607744</v>
      </c>
      <c r="I1072" s="1">
        <f t="shared" si="1215"/>
        <v>7.5774800703476881</v>
      </c>
      <c r="J1072" s="1">
        <f t="shared" si="1215"/>
        <v>8.0509088782381575</v>
      </c>
      <c r="K1072" s="1">
        <f t="shared" si="1215"/>
        <v>8.6211469944055796</v>
      </c>
      <c r="L1072" s="1">
        <f t="shared" ref="L1072" si="1216">L1067-L1068</f>
        <v>8.2473736248285565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9.1312798097288201</v>
      </c>
      <c r="G1073" s="1">
        <f t="shared" ref="G1073:L1073" si="1217">G1074</f>
        <v>10.087236125273765</v>
      </c>
      <c r="H1073" s="1">
        <f t="shared" si="1217"/>
        <v>10.23846304949334</v>
      </c>
      <c r="I1073" s="1">
        <f t="shared" si="1217"/>
        <v>9.0203082549108444</v>
      </c>
      <c r="J1073" s="1">
        <f t="shared" si="1217"/>
        <v>7.6290559754493952</v>
      </c>
      <c r="K1073" s="1">
        <f t="shared" si="1217"/>
        <v>6.2877362351944912</v>
      </c>
      <c r="L1073" s="1">
        <f t="shared" si="1217"/>
        <v>3.6693912915351641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9.1312798097288201</v>
      </c>
      <c r="G1074" s="1">
        <f>[1]Residential!C$111</f>
        <v>10.087236125273765</v>
      </c>
      <c r="H1074" s="1">
        <f>[1]Residential!D$111</f>
        <v>10.23846304949334</v>
      </c>
      <c r="I1074" s="1">
        <f>[1]Residential!E$111</f>
        <v>9.0203082549108444</v>
      </c>
      <c r="J1074" s="1">
        <f>[2]Residential!F$111</f>
        <v>7.6290559754493952</v>
      </c>
      <c r="K1074" s="1">
        <f>[2]Residential!G$111</f>
        <v>6.2877362351944912</v>
      </c>
      <c r="L1074" s="1">
        <f>[2]Residential!H$111</f>
        <v>3.6693912915351641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2.6970513256776814</v>
      </c>
      <c r="G1075" s="1">
        <f t="shared" ref="G1075:L1075" si="1218">G1076</f>
        <v>3.1683493070209496</v>
      </c>
      <c r="H1075" s="1">
        <f t="shared" si="1218"/>
        <v>0.32585701234233616</v>
      </c>
      <c r="I1075" s="1">
        <f t="shared" si="1218"/>
        <v>0.39995686502393585</v>
      </c>
      <c r="J1075" s="1">
        <f t="shared" si="1218"/>
        <v>0.41904635133409424</v>
      </c>
      <c r="K1075" s="1">
        <f t="shared" si="1218"/>
        <v>0.44632869065261194</v>
      </c>
      <c r="L1075" s="1">
        <f t="shared" si="1218"/>
        <v>0.37793664848795677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2.6970513256776814</v>
      </c>
      <c r="G1076" s="1">
        <f>[1]Residential!C$112</f>
        <v>3.1683493070209496</v>
      </c>
      <c r="H1076" s="1">
        <f>[1]Residential!D$112</f>
        <v>0.32585701234233616</v>
      </c>
      <c r="I1076" s="1">
        <f>[1]Residential!E$112</f>
        <v>0.39995686502393585</v>
      </c>
      <c r="J1076" s="1">
        <f>[2]Residential!F$112</f>
        <v>0.41904635133409424</v>
      </c>
      <c r="K1076" s="1">
        <f>[2]Residential!G$112</f>
        <v>0.44632869065261194</v>
      </c>
      <c r="L1076" s="1">
        <f>[2]Residential!H$112</f>
        <v>0.37793664848795677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0.78544063424289079</v>
      </c>
      <c r="G1077" s="1">
        <f t="shared" ref="G1077:L1077" si="1219">G1078</f>
        <v>0.94185363396680555</v>
      </c>
      <c r="H1077" s="1">
        <f t="shared" si="1219"/>
        <v>3.1977953162283961E-2</v>
      </c>
      <c r="I1077" s="1">
        <f t="shared" si="1219"/>
        <v>3.4980842181890168E-2</v>
      </c>
      <c r="J1077" s="1">
        <f t="shared" si="1219"/>
        <v>3.4719238862404786E-2</v>
      </c>
      <c r="K1077" s="1">
        <f t="shared" si="1219"/>
        <v>3.3870577684829789E-2</v>
      </c>
      <c r="L1077" s="1">
        <f t="shared" si="1219"/>
        <v>3.0358684231225366E-2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0.78544063424289079</v>
      </c>
      <c r="G1078" s="1">
        <f>[1]Residential!C$113</f>
        <v>0.94185363396680555</v>
      </c>
      <c r="H1078" s="1">
        <f>[1]Residential!D$113</f>
        <v>3.1977953162283961E-2</v>
      </c>
      <c r="I1078" s="1">
        <f>[1]Residential!E$113</f>
        <v>3.4980842181890168E-2</v>
      </c>
      <c r="J1078" s="1">
        <f>[2]Residential!F$113</f>
        <v>3.4719238862404786E-2</v>
      </c>
      <c r="K1078" s="1">
        <f>[2]Residential!G$113</f>
        <v>3.3870577684829789E-2</v>
      </c>
      <c r="L1078" s="1">
        <f>[2]Residential!H$113</f>
        <v>3.0358684231225366E-2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0.4364136051451632</v>
      </c>
      <c r="G1081" s="1">
        <f>[1]Residential!C$10-[1]Residential!C$223</f>
        <v>6.6797076655323089</v>
      </c>
      <c r="H1081" s="1">
        <f>[1]Residential!D$10-[1]Residential!D$223</f>
        <v>5.1815994781206678</v>
      </c>
      <c r="I1081" s="1">
        <f>[1]Residential!E$10-[1]Residential!E$223</f>
        <v>10.575557659759664</v>
      </c>
      <c r="J1081" s="1">
        <f>[2]Residential!F$10-[2]Residential!F$223</f>
        <v>15.549924574346456</v>
      </c>
      <c r="K1081" s="1">
        <f>[2]Residential!G$10-[2]Residential!G$223</f>
        <v>20.254899371578961</v>
      </c>
      <c r="L1081" s="1">
        <f>[2]Residential!H$10-[2]Residential!H$223</f>
        <v>30.406333429484334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26.979980311465653</v>
      </c>
      <c r="G1082" s="1">
        <f>[1]Residential!C$224</f>
        <v>25.937099835886766</v>
      </c>
      <c r="H1082" s="1">
        <f>[1]Residential!D$224</f>
        <v>21.670516389651187</v>
      </c>
      <c r="I1082" s="1">
        <f>[1]Residential!E$224</f>
        <v>22.093541016334871</v>
      </c>
      <c r="J1082" s="1">
        <f>[2]Residential!F$224</f>
        <v>26.10394320012529</v>
      </c>
      <c r="K1082" s="1">
        <f>[2]Residential!G$224</f>
        <v>29.619535078269845</v>
      </c>
      <c r="L1082" s="1">
        <f>[2]Residential!H$224</f>
        <v>32.43540156630533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9.8853948664184284</v>
      </c>
      <c r="G1083" s="1">
        <f t="shared" ref="G1083:K1083" si="1221">SUM(G1084:G1085)</f>
        <v>10.604351221806059</v>
      </c>
      <c r="H1083" s="1">
        <f t="shared" si="1221"/>
        <v>7.7311163800765028</v>
      </c>
      <c r="I1083" s="1">
        <f t="shared" si="1221"/>
        <v>9.4690277826297091</v>
      </c>
      <c r="J1083" s="1">
        <f t="shared" si="1221"/>
        <v>12.780027007901474</v>
      </c>
      <c r="K1083" s="1">
        <f t="shared" si="1221"/>
        <v>15.826161940657308</v>
      </c>
      <c r="L1083" s="1">
        <f t="shared" ref="L1083" si="1222">SUM(L1084:L1085)</f>
        <v>19.061676370814073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6.6450401712067464</v>
      </c>
      <c r="G1084" s="1">
        <f>[1]Residential!C$231-G1058</f>
        <v>6.9687574275601136</v>
      </c>
      <c r="H1084" s="1">
        <f>[1]Residential!D$231-H1058</f>
        <v>2.8222235255705348</v>
      </c>
      <c r="I1084" s="1">
        <f>[1]Residential!E$231-I1058</f>
        <v>2.0093105574710819</v>
      </c>
      <c r="J1084" s="1">
        <f>[2]Residential!F$231-J1058</f>
        <v>2.0816613920226956</v>
      </c>
      <c r="K1084" s="1">
        <f>[2]Residential!G$231-K1058</f>
        <v>1.9796619080397238</v>
      </c>
      <c r="L1084" s="1">
        <f>[2]Residential!H$231-L1058</f>
        <v>1.778451842229738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3.240354695211682</v>
      </c>
      <c r="G1085" s="1">
        <f>[1]Residential!C$233-G1059</f>
        <v>3.6355937942459455</v>
      </c>
      <c r="H1085" s="1">
        <f>[1]Residential!D$233-H1059</f>
        <v>4.908892854505968</v>
      </c>
      <c r="I1085" s="1">
        <f>[1]Residential!E$233-I1059</f>
        <v>7.4597172251586272</v>
      </c>
      <c r="J1085" s="1">
        <f>[2]Residential!F$233-J1059</f>
        <v>10.698365615878778</v>
      </c>
      <c r="K1085" s="1">
        <f>[2]Residential!G$233-K1059</f>
        <v>13.846500032617584</v>
      </c>
      <c r="L1085" s="1">
        <f>[2]Residential!H$233-L1059</f>
        <v>17.283224528584334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6.9846279778326164</v>
      </c>
      <c r="G1086" s="1">
        <f t="shared" ref="G1086:L1086" si="1223">G1087</f>
        <v>5.8544670496385933</v>
      </c>
      <c r="H1086" s="1">
        <f t="shared" si="1223"/>
        <v>4.4836979255221152</v>
      </c>
      <c r="I1086" s="1">
        <f t="shared" si="1223"/>
        <v>2.1231662544547554</v>
      </c>
      <c r="J1086" s="1">
        <f t="shared" si="1223"/>
        <v>1.553917777355462</v>
      </c>
      <c r="K1086" s="1">
        <f t="shared" si="1223"/>
        <v>0.89319872296898151</v>
      </c>
      <c r="L1086" s="1">
        <f t="shared" si="1223"/>
        <v>0.15121379051019357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6.9846279778326164</v>
      </c>
      <c r="G1087" s="1">
        <f>[1]Residential!C$234-G1061</f>
        <v>5.8544670496385933</v>
      </c>
      <c r="H1087" s="1">
        <f>[1]Residential!D$234-H1061</f>
        <v>4.4836979255221152</v>
      </c>
      <c r="I1087" s="1">
        <f>[1]Residential!E$234-I1061</f>
        <v>2.1231662544547554</v>
      </c>
      <c r="J1087" s="1">
        <f>[2]Residential!F$234-J1061</f>
        <v>1.553917777355462</v>
      </c>
      <c r="K1087" s="1">
        <f>[2]Residential!G$234-K1061</f>
        <v>0.89319872296898151</v>
      </c>
      <c r="L1087" s="1">
        <f>[2]Residential!H$234-L1061</f>
        <v>0.15121379051019357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6.3805777484808246</v>
      </c>
      <c r="G1088" s="1">
        <f t="shared" ref="G1088:K1088" si="1224">SUM(G1089:G1090)</f>
        <v>5.2356337330010163</v>
      </c>
      <c r="H1088" s="1">
        <f t="shared" si="1224"/>
        <v>6.3025268654257536</v>
      </c>
      <c r="I1088" s="1">
        <f t="shared" si="1224"/>
        <v>6.7108522396096486</v>
      </c>
      <c r="J1088" s="1">
        <f t="shared" si="1224"/>
        <v>7.6037378265989659</v>
      </c>
      <c r="K1088" s="1">
        <f t="shared" si="1224"/>
        <v>8.3049779097133047</v>
      </c>
      <c r="L1088" s="1">
        <f t="shared" ref="L1088" si="1225">SUM(L1089:L1090)</f>
        <v>8.4955395338850579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6.3805777484808246</v>
      </c>
      <c r="G1089" s="1">
        <f>[1]Residential!C$235-G1063</f>
        <v>5.2356337330010163</v>
      </c>
      <c r="H1089" s="1">
        <f>[1]Residential!D$235-H1063</f>
        <v>5.2098911521953006</v>
      </c>
      <c r="I1089" s="1">
        <f>[1]Residential!E$235-I1063</f>
        <v>3.4409882838664672</v>
      </c>
      <c r="J1089" s="1">
        <f>[2]Residential!F$235-J1063</f>
        <v>2.4390946731864886</v>
      </c>
      <c r="K1089" s="1">
        <f>[2]Residential!G$235-K1063</f>
        <v>1.5003220088955791</v>
      </c>
      <c r="L1089" s="1">
        <f>[2]Residential!H$235-L1063</f>
        <v>0.7054415567100274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1.0926357132304529</v>
      </c>
      <c r="I1090" s="1">
        <f>[1]Residential!E$236-I1064</f>
        <v>3.2698639557431814</v>
      </c>
      <c r="J1090" s="1">
        <f>[2]Residential!F$236-J1064</f>
        <v>5.1646431534124773</v>
      </c>
      <c r="K1090" s="1">
        <f>[2]Residential!G$236-K1064</f>
        <v>6.8046559008177248</v>
      </c>
      <c r="L1090" s="1">
        <f>[2]Residential!H$236-L1064</f>
        <v>7.7900979771750301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1.3174217988002306</v>
      </c>
      <c r="G1093" s="1">
        <f t="shared" ref="G1093:K1093" si="1226">SUM(G1094,G1098)</f>
        <v>1.4634149442644346</v>
      </c>
      <c r="H1093" s="1">
        <f t="shared" si="1226"/>
        <v>0.95822315729957896</v>
      </c>
      <c r="I1093" s="1">
        <f t="shared" si="1226"/>
        <v>1.4685529170094487</v>
      </c>
      <c r="J1093" s="1">
        <f t="shared" si="1226"/>
        <v>1.7925778260392331</v>
      </c>
      <c r="K1093" s="1">
        <f t="shared" si="1226"/>
        <v>2.1362660011407772</v>
      </c>
      <c r="L1093" s="1">
        <f t="shared" ref="L1093" si="1227">SUM(L1094,L1098)</f>
        <v>2.4648370514263558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1.8702047656158113E-2</v>
      </c>
      <c r="G1094" s="1">
        <f>[1]Residential!C$238-G1068</f>
        <v>8.8073048497239181E-3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1.8702047656158113E-2</v>
      </c>
      <c r="G1095" s="1">
        <f t="shared" ref="G1095:K1097" si="1228">IFERROR(G$1094/G$1043,0)*G1044</f>
        <v>8.8073048497239181E-3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1.2987197511440725</v>
      </c>
      <c r="G1098" s="1">
        <f>[1]Residential!C$239-G1072</f>
        <v>1.4546076394147107</v>
      </c>
      <c r="H1098" s="1">
        <f>[1]Residential!D$239-H1072</f>
        <v>0.95822315729957896</v>
      </c>
      <c r="I1098" s="1">
        <f>[1]Residential!E$239-I1072</f>
        <v>1.4685529170094487</v>
      </c>
      <c r="J1098" s="1">
        <f>[2]Residential!F$239-J1072</f>
        <v>1.7925778260392331</v>
      </c>
      <c r="K1098" s="1">
        <f>[2]Residential!G$239-K1072</f>
        <v>2.1362660011407772</v>
      </c>
      <c r="L1098" s="1">
        <f>[2]Residential!H$239-L1072</f>
        <v>2.4648370514263558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0.52057400693692024</v>
      </c>
      <c r="G1099" s="1">
        <f t="shared" ref="G1099:L1099" si="1232">G1100</f>
        <v>0.59729223818153621</v>
      </c>
      <c r="H1099" s="1">
        <f t="shared" si="1232"/>
        <v>1.1872625000086217</v>
      </c>
      <c r="I1099" s="1">
        <f t="shared" si="1232"/>
        <v>1.1594599532141885</v>
      </c>
      <c r="J1099" s="1">
        <f t="shared" si="1232"/>
        <v>1.1064502768893245</v>
      </c>
      <c r="K1099" s="1">
        <f t="shared" si="1232"/>
        <v>1.0537210443824989</v>
      </c>
      <c r="L1099" s="1">
        <f t="shared" si="1232"/>
        <v>0.81228484750957275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0.52057400693692024</v>
      </c>
      <c r="G1100" s="1">
        <f>[1]Residential!C$240-G1074</f>
        <v>0.59729223818153621</v>
      </c>
      <c r="H1100" s="1">
        <f>[1]Residential!D$240-H1074</f>
        <v>1.1872625000086217</v>
      </c>
      <c r="I1100" s="1">
        <f>[1]Residential!E$240-I1074</f>
        <v>1.1594599532141885</v>
      </c>
      <c r="J1100" s="1">
        <f>[2]Residential!F$240-J1074</f>
        <v>1.1064502768893245</v>
      </c>
      <c r="K1100" s="1">
        <f>[2]Residential!G$240-K1074</f>
        <v>1.0537210443824989</v>
      </c>
      <c r="L1100" s="1">
        <f>[2]Residential!H$240-L1074</f>
        <v>0.81228484750957275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0.16989588833677471</v>
      </c>
      <c r="G1101" s="1">
        <f t="shared" ref="G1101" si="1233">G1102</f>
        <v>0.19486198069243299</v>
      </c>
      <c r="H1101" s="1">
        <f t="shared" ref="H1101" si="1234">H1102</f>
        <v>7.5218280477073074E-2</v>
      </c>
      <c r="I1101" s="1">
        <f t="shared" ref="I1101" si="1235">I1102</f>
        <v>0.10246029685402652</v>
      </c>
      <c r="J1101" s="1">
        <f t="shared" ref="J1101" si="1236">J1102</f>
        <v>0.12204845241096435</v>
      </c>
      <c r="K1101" s="1">
        <f t="shared" ref="K1101:L1101" si="1237">K1102</f>
        <v>0.14263997435294051</v>
      </c>
      <c r="L1101" s="1">
        <f t="shared" si="1237"/>
        <v>0.15091067829842625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0.16989588833677471</v>
      </c>
      <c r="G1102" s="1">
        <f>[1]Residential!C$241-G1076</f>
        <v>0.19486198069243299</v>
      </c>
      <c r="H1102" s="1">
        <f>[1]Residential!D$241-H1076</f>
        <v>7.5218280477073074E-2</v>
      </c>
      <c r="I1102" s="1">
        <f>[1]Residential!E$241-I1076</f>
        <v>0.10246029685402652</v>
      </c>
      <c r="J1102" s="1">
        <f>[2]Residential!F$241-J1076</f>
        <v>0.12204845241096435</v>
      </c>
      <c r="K1102" s="1">
        <f>[2]Residential!G$241-K1076</f>
        <v>0.14263997435294051</v>
      </c>
      <c r="L1102" s="1">
        <f>[2]Residential!H$241-L1076</f>
        <v>0.15091067829842625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238">G1104</f>
        <v>1.9870786683026969</v>
      </c>
      <c r="H1103" s="1">
        <f t="shared" ref="H1103" si="1239">H1104</f>
        <v>0.93247128084154562</v>
      </c>
      <c r="I1103" s="1">
        <f t="shared" ref="I1103" si="1240">I1104</f>
        <v>1.0600215725630913</v>
      </c>
      <c r="J1103" s="1">
        <f t="shared" ref="J1103" si="1241">J1104</f>
        <v>1.1451840329298697</v>
      </c>
      <c r="K1103" s="1">
        <f t="shared" ref="K1103:L1103" si="1242">K1104</f>
        <v>1.2625694850540357</v>
      </c>
      <c r="L1103" s="1">
        <f t="shared" si="1242"/>
        <v>1.2989392938616402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1.9870786683026969</v>
      </c>
      <c r="H1104" s="1">
        <f>[1]Residential!D$242-H1078</f>
        <v>0.93247128084154562</v>
      </c>
      <c r="I1104" s="1">
        <f>[1]Residential!E$242-I1078</f>
        <v>1.0600215725630913</v>
      </c>
      <c r="J1104" s="1">
        <f>[2]Residential!F$242-J1078</f>
        <v>1.1451840329298697</v>
      </c>
      <c r="K1104" s="1">
        <f>[2]Residential!G$242-K1078</f>
        <v>1.2625694850540357</v>
      </c>
      <c r="L1104" s="1">
        <f>[2]Residential!H$242-L1078</f>
        <v>1.2989392938616402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0.95000000000000018</v>
      </c>
      <c r="G1109" s="4">
        <f t="shared" ref="G1109:K1110" si="1250">IFERROR(G1058/G975,"-")</f>
        <v>0.94999999999999962</v>
      </c>
      <c r="H1109" s="4">
        <f t="shared" si="1250"/>
        <v>0.91776951412600094</v>
      </c>
      <c r="I1109" s="4">
        <f t="shared" si="1250"/>
        <v>0.91943052771496125</v>
      </c>
      <c r="J1109" s="4">
        <f t="shared" si="1250"/>
        <v>0.93348836719341788</v>
      </c>
      <c r="K1109" s="4">
        <f t="shared" si="1250"/>
        <v>0.94309658282225917</v>
      </c>
      <c r="L1109" s="4">
        <f t="shared" ref="L1109" si="1251">IFERROR(L1058/L975,"-")</f>
        <v>0.94506228378666512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3.2000000000000024</v>
      </c>
      <c r="G1110" s="4">
        <f t="shared" si="1250"/>
        <v>3.2533333333333294</v>
      </c>
      <c r="H1110" s="4">
        <f t="shared" si="1250"/>
        <v>2.9764746836214107</v>
      </c>
      <c r="I1110" s="4">
        <f t="shared" si="1250"/>
        <v>3.2458621945194781</v>
      </c>
      <c r="J1110" s="4">
        <f t="shared" si="1250"/>
        <v>3.4586746006492715</v>
      </c>
      <c r="K1110" s="4">
        <f t="shared" si="1250"/>
        <v>3.6618762889936711</v>
      </c>
      <c r="L1110" s="4">
        <f t="shared" ref="L1110" si="1252">IFERROR(L1059/L976,"-")</f>
        <v>4.0592516750098602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0.89583333333333448</v>
      </c>
      <c r="G1111" s="4">
        <f t="shared" ref="G1111:K1111" si="1253">IFERROR(G1061/G985,"-")</f>
        <v>0.89583333333333426</v>
      </c>
      <c r="H1111" s="4">
        <f t="shared" si="1253"/>
        <v>0.8539238769227977</v>
      </c>
      <c r="I1111" s="4">
        <f t="shared" si="1253"/>
        <v>0.8692590080985485</v>
      </c>
      <c r="J1111" s="4">
        <f t="shared" si="1253"/>
        <v>0.8704685385508143</v>
      </c>
      <c r="K1111" s="4">
        <f t="shared" si="1253"/>
        <v>0.87146375946021881</v>
      </c>
      <c r="L1111" s="4">
        <f t="shared" ref="L1111" si="1254">IFERROR(L1061/L985,"-")</f>
        <v>0.87026922471032009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0.95000000000000029</v>
      </c>
      <c r="G1112" s="4">
        <f t="shared" ref="G1112:K1112" si="1255">IFERROR(G1063/G998,"-")</f>
        <v>0.95000000000000073</v>
      </c>
      <c r="H1112" s="4">
        <f t="shared" si="1255"/>
        <v>0.9346106137103205</v>
      </c>
      <c r="I1112" s="4">
        <f t="shared" si="1255"/>
        <v>0.93488919291382067</v>
      </c>
      <c r="J1112" s="4">
        <f t="shared" si="1255"/>
        <v>0.93473911418077593</v>
      </c>
      <c r="K1112" s="4">
        <f t="shared" si="1255"/>
        <v>0.93414412232687594</v>
      </c>
      <c r="L1112" s="4">
        <f t="shared" ref="L1112" si="1256">IFERROR(L1063/L998,"-")</f>
        <v>0.94074545503036811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1.8607086627637814</v>
      </c>
      <c r="I1113" s="4">
        <f t="shared" si="1257"/>
        <v>1.9380027147048504</v>
      </c>
      <c r="J1113" s="4">
        <f t="shared" si="1257"/>
        <v>1.968226621877748</v>
      </c>
      <c r="K1113" s="4">
        <f t="shared" si="1257"/>
        <v>1.9974767360774652</v>
      </c>
      <c r="L1113" s="4">
        <f t="shared" ref="L1113" si="1258">IFERROR(L1064/L999,"-")</f>
        <v>2.1078243113426942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0.71999999999999909</v>
      </c>
      <c r="G1114" s="4">
        <f t="shared" ref="G1114:K1114" si="1259">IFERROR(G1066/G1017,"-")</f>
        <v>0.71999999999999964</v>
      </c>
      <c r="H1114" s="4">
        <f t="shared" si="1259"/>
        <v>0.79930067180127806</v>
      </c>
      <c r="I1114" s="4">
        <f t="shared" si="1259"/>
        <v>0.79999999999999982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0.72000000000000042</v>
      </c>
      <c r="G1119" s="4">
        <f t="shared" ref="G1119:K1119" si="1261">IFERROR(G1074/G1022,"-")</f>
        <v>0.71999999999999953</v>
      </c>
      <c r="H1119" s="4">
        <f t="shared" si="1261"/>
        <v>0.71955649543430034</v>
      </c>
      <c r="I1119" s="4">
        <f t="shared" si="1261"/>
        <v>0.72595753141996811</v>
      </c>
      <c r="J1119" s="4">
        <f t="shared" si="1261"/>
        <v>0.7277127137611189</v>
      </c>
      <c r="K1119" s="4">
        <f t="shared" si="1261"/>
        <v>0.72990497704495905</v>
      </c>
      <c r="L1119" s="4">
        <f t="shared" ref="L1119" si="1262">IFERROR(L1074/L1022,"-")</f>
        <v>0.75277128234016066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0.8999999999999998</v>
      </c>
      <c r="G1120" s="4">
        <f t="shared" ref="G1120:K1120" si="1263">IFERROR(G1076/G1027,"-")</f>
        <v>0.9</v>
      </c>
      <c r="H1120" s="4">
        <f t="shared" si="1263"/>
        <v>0.73465899905094845</v>
      </c>
      <c r="I1120" s="4">
        <f t="shared" si="1263"/>
        <v>0.73624066792158793</v>
      </c>
      <c r="J1120" s="4">
        <f t="shared" si="1263"/>
        <v>0.73717593812159887</v>
      </c>
      <c r="K1120" s="4">
        <f t="shared" si="1263"/>
        <v>0.74067769916053894</v>
      </c>
      <c r="L1120" s="4">
        <f t="shared" ref="L1120" si="1264">IFERROR(L1076/L1027,"-")</f>
        <v>0.75110419543422824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67">IFERROR(G1084/G978,"-")</f>
        <v>0.79200000000000004</v>
      </c>
      <c r="H1123" s="4">
        <f t="shared" si="1267"/>
        <v>0.46575802235527497</v>
      </c>
      <c r="I1123" s="4">
        <f t="shared" si="1267"/>
        <v>0.48531240321047248</v>
      </c>
      <c r="J1123" s="4">
        <f t="shared" si="1267"/>
        <v>0.49799026376739092</v>
      </c>
      <c r="K1123" s="4">
        <f t="shared" si="1267"/>
        <v>0.50590660623594608</v>
      </c>
      <c r="L1123" s="4">
        <f t="shared" ref="L1123" si="1268">IFERROR(L1084/L978,"-")</f>
        <v>0.51855664700912907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2.8200000000000007</v>
      </c>
      <c r="G1124" s="4">
        <f t="shared" si="1267"/>
        <v>2.8259999999999992</v>
      </c>
      <c r="H1124" s="4">
        <f t="shared" si="1267"/>
        <v>1.8795656633702611</v>
      </c>
      <c r="I1124" s="4">
        <f t="shared" si="1267"/>
        <v>2.0948176852255105</v>
      </c>
      <c r="J1124" s="4">
        <f t="shared" si="1267"/>
        <v>2.2877820455213493</v>
      </c>
      <c r="K1124" s="4">
        <f t="shared" si="1267"/>
        <v>2.4348111510391015</v>
      </c>
      <c r="L1124" s="4">
        <f t="shared" ref="L1124" si="1269">IFERROR(L1085/L979,"-")</f>
        <v>2.723936124262309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0.70833333333333337</v>
      </c>
      <c r="G1125" s="4">
        <f t="shared" ref="G1125:K1125" si="1270">IFERROR(G1087/G991,"-")</f>
        <v>0.71458333333333313</v>
      </c>
      <c r="H1125" s="4">
        <f t="shared" si="1270"/>
        <v>0.50203250571199487</v>
      </c>
      <c r="I1125" s="4">
        <f t="shared" si="1270"/>
        <v>0.53790969434062297</v>
      </c>
      <c r="J1125" s="4">
        <f t="shared" si="1270"/>
        <v>0.5525998146766089</v>
      </c>
      <c r="K1125" s="4">
        <f t="shared" si="1270"/>
        <v>0.56312091575976186</v>
      </c>
      <c r="L1125" s="4">
        <f t="shared" ref="L1125" si="1271">IFERROR(L1087/L991,"-")</f>
        <v>0.5893320789388572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272">IFERROR(G1089/G1007,"-")</f>
        <v>0.75400000000000011</v>
      </c>
      <c r="H1126" s="4">
        <f t="shared" si="1272"/>
        <v>0.52892197897443249</v>
      </c>
      <c r="I1126" s="4">
        <f t="shared" si="1272"/>
        <v>0.55781247551014579</v>
      </c>
      <c r="J1126" s="4">
        <f t="shared" si="1272"/>
        <v>0.5609039398127228</v>
      </c>
      <c r="K1126" s="4">
        <f t="shared" si="1272"/>
        <v>0.56290916401741453</v>
      </c>
      <c r="L1126" s="4">
        <f t="shared" ref="L1126" si="1273">IFERROR(L1089/L1007,"-")</f>
        <v>0.57181749899785295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2.02088621177325</v>
      </c>
      <c r="I1127" s="4">
        <f t="shared" si="1274"/>
        <v>2.3012847235341902</v>
      </c>
      <c r="J1127" s="4">
        <f t="shared" si="1274"/>
        <v>2.4584219382437626</v>
      </c>
      <c r="K1127" s="4">
        <f t="shared" si="1274"/>
        <v>2.5847946990795201</v>
      </c>
      <c r="L1127" s="4">
        <f t="shared" ref="L1127" si="1275">IFERROR(L1090/L1008,"-")</f>
        <v>3.0955182452460006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0.50000000000000044</v>
      </c>
      <c r="G1132" s="4">
        <f t="shared" ref="G1132:K1132" si="1276">IFERROR(G1100/G1024,"-")</f>
        <v>0.50000000000000033</v>
      </c>
      <c r="H1132" s="4">
        <f t="shared" si="1276"/>
        <v>0.43701951174377435</v>
      </c>
      <c r="I1132" s="4">
        <f t="shared" si="1276"/>
        <v>0.45013726959409683</v>
      </c>
      <c r="J1132" s="4">
        <f t="shared" si="1276"/>
        <v>0.46009495740409412</v>
      </c>
      <c r="K1132" s="4">
        <f t="shared" si="1276"/>
        <v>0.47116403154064018</v>
      </c>
      <c r="L1132" s="4">
        <f t="shared" ref="L1132" si="1277">IFERROR(L1100/L1024,"-")</f>
        <v>0.49822738909337344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0.62500000000000089</v>
      </c>
      <c r="G1133" s="4">
        <f t="shared" ref="G1133:K1133" si="1278">IFERROR(G1102/G1029,"-")</f>
        <v>0.62499999999999978</v>
      </c>
      <c r="H1133" s="4">
        <f t="shared" si="1278"/>
        <v>0.45224362210627111</v>
      </c>
      <c r="I1133" s="4">
        <f t="shared" si="1278"/>
        <v>0.46212952393595491</v>
      </c>
      <c r="J1133" s="4">
        <f t="shared" si="1278"/>
        <v>0.47069087796275894</v>
      </c>
      <c r="K1133" s="4">
        <f t="shared" si="1278"/>
        <v>0.48151358375179087</v>
      </c>
      <c r="L1133" s="4">
        <f t="shared" ref="L1133" si="1279">IFERROR(L1102/L1029,"-")</f>
        <v>0.50078245991614889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141.10167328846083</v>
      </c>
      <c r="G1136" s="3">
        <f t="shared" si="1282"/>
        <v>134.8367750226968</v>
      </c>
      <c r="H1136" s="3">
        <f t="shared" si="1282"/>
        <v>121.54868769570562</v>
      </c>
      <c r="I1136" s="3">
        <f t="shared" si="1282"/>
        <v>88.037138183401552</v>
      </c>
      <c r="J1136" s="3">
        <f t="shared" si="1282"/>
        <v>64.589061806381778</v>
      </c>
      <c r="K1136" s="3">
        <f t="shared" si="1282"/>
        <v>55.561527171823506</v>
      </c>
      <c r="L1136" s="3">
        <f t="shared" ref="L1136" si="1283">L1137+L1152+L1157+L1180+L1203</f>
        <v>46.549189405311964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0.75904311485990328</v>
      </c>
      <c r="G1137" s="1">
        <f t="shared" ref="G1137:K1137" si="1284">SUM(G1138:G1151)</f>
        <v>1.7792398401544249</v>
      </c>
      <c r="H1137" s="1">
        <f t="shared" si="1284"/>
        <v>4.4609875179463874</v>
      </c>
      <c r="I1137" s="1">
        <f t="shared" si="1284"/>
        <v>18.761652976295263</v>
      </c>
      <c r="J1137" s="1">
        <f t="shared" si="1284"/>
        <v>37.672173727793457</v>
      </c>
      <c r="K1137" s="1">
        <f t="shared" si="1284"/>
        <v>45.674963444364742</v>
      </c>
      <c r="L1137" s="1">
        <f t="shared" ref="L1137" si="1285">SUM(L1138:L1151)</f>
        <v>45.209067767569465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0.46775321103068807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0.37695569892784792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0.26206799058819863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0.11309438201948849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1.1753470285554044E-2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2.1992886307014767E-2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2.0899358540414026E-2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0.48150132464017859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1.1454946517913449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1.3658947394573586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1.3443728264961055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6.6747486115301083E-2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0.12307832929795047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0.16273543280500249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5.1355658757097356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11.838429352714902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13.183446024138657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12.224267092822052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5.0569751806782734E-2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0.25759536963994467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0.83973041352650502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0.88313155516653929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1.8430838693458329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7.4247599804205384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10.983766170423118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0.15882112619722877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0.90074557057290427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2.8599676467840207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9.907725329674534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17.971911180648082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18.799128035702147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17.959733833242854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5.9062578061176599E-4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9.0864607574338491E-4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4.2894209844528356E-3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1.2200020236483387E-3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9.3606266627026485E-4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1.7850755084061984E-4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3.3805307952949662E-3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8.4363186840827678E-3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1.0781298760179536E-2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2.2762196762880653E-2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6.9738634092214296E-3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5.0275742771528744E-3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1.6218097680276247E-3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4.2257203478147223E-2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0.14392859340708863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1.0459420047492505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2.5419041580890553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1.8823134702725388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0.55498328185961188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2.1512532490701893E-2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2.9159853456187105E-2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4.9684470895111313E-2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1.198649089362072E-2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4.1218771158701342E-3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1.0099468010070143E-3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5.8439034758114719E-4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8.981745409123497E-4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4.4203831369525369E-3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1.3241575638739912E-3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1.0025727108785962E-3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1.7803599011787893E-4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1.753862905357987E-5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7.1664915616044447E-4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2.3839631952658324E-3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1.1473215028926158E-2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6.0874024864007985E-3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5.6003443801412277E-3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1.7058298039129469E-3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1.901278548490257E-2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0.11598673387917731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0.73985860106067414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2.0113911538988893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1.3468646798024615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0.38645578725240654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5.7614799865749241E-3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1.1539412387691706E-2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2.8220086517950566E-2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8.4681646759924133E-3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4.6585228089759097E-3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9.950801944583565E-4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0.33398412994859022</v>
      </c>
      <c r="J1151" s="1">
        <f>[2]Transport!F$32</f>
        <v>0.28389928025259697</v>
      </c>
      <c r="K1151" s="1">
        <f>[2]Transport!G$32</f>
        <v>1.6512095606117636</v>
      </c>
      <c r="L1151" s="1">
        <f>[2]Transport!H$32</f>
        <v>1.7497995653649496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1.2578995250666642E-3</v>
      </c>
      <c r="G1152" s="1">
        <f t="shared" ref="G1152:K1152" si="1290">SUM(G1153:G1156)</f>
        <v>3.8052827299271423E-3</v>
      </c>
      <c r="H1152" s="1">
        <f t="shared" si="1290"/>
        <v>4.5313552833252547E-3</v>
      </c>
      <c r="I1152" s="1">
        <f t="shared" si="1290"/>
        <v>1.9073786592888461E-3</v>
      </c>
      <c r="J1152" s="1">
        <f t="shared" si="1290"/>
        <v>2.6119879376542619E-4</v>
      </c>
      <c r="K1152" s="1">
        <f t="shared" si="1290"/>
        <v>2.163924765195341E-4</v>
      </c>
      <c r="L1152" s="1">
        <f t="shared" ref="L1152" si="1291">SUM(L1153:L1156)</f>
        <v>1.9625787907615608E-4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4.3658869685289696E-4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5.3358819465656277E-4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1.6326303284530698E-4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3.6412900065057631E-5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3.4415384801609083E-5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2.6194569957205262E-5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1.7188339485569516E-4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5.6304296400316596E-4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8.2354125241344714E-4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4.7247021116697188E-4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6.3519519758923739E-5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5.6676816638723073E-5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4.9354044695784707E-5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1.0860161302109692E-3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2.3279316316985187E-3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2.4352966495347528E-3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8.9185712049433372E-4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9.4848408235578206E-5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6.440432541013207E-5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5.960702959697104E-5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4.7771943737256084E-4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7.3892918672049208E-4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3.7978829478223371E-4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6.6417965705866603E-5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6.0895949669069876E-5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6.1102234826195082E-5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76.403697980924306</v>
      </c>
      <c r="G1157" s="1">
        <f t="shared" ref="G1157:K1157" si="1292">SUM(G1162:G1179)</f>
        <v>74.211040865357049</v>
      </c>
      <c r="H1157" s="1">
        <f t="shared" si="1292"/>
        <v>71.059371752578983</v>
      </c>
      <c r="I1157" s="1">
        <f t="shared" si="1292"/>
        <v>41.517091035693113</v>
      </c>
      <c r="J1157" s="1">
        <f t="shared" si="1292"/>
        <v>16.628415870629276</v>
      </c>
      <c r="K1157" s="1">
        <f t="shared" si="1292"/>
        <v>5.9589743552502998</v>
      </c>
      <c r="L1157" s="1">
        <f t="shared" ref="L1157" si="1293">SUM(L1162:L1179)</f>
        <v>0.79335929742140265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72.221314310536769</v>
      </c>
      <c r="G1158" s="1">
        <f t="shared" si="1294"/>
        <v>70.147979472645815</v>
      </c>
      <c r="H1158" s="1">
        <f t="shared" si="1294"/>
        <v>67.168634536209225</v>
      </c>
      <c r="I1158" s="1">
        <f t="shared" si="1294"/>
        <v>37.883048080696092</v>
      </c>
      <c r="J1158" s="1">
        <f t="shared" si="1294"/>
        <v>15.204267151682989</v>
      </c>
      <c r="K1158" s="1">
        <f>IF(K1157-K1159&lt;0,0,K1157-K1159)</f>
        <v>2.5792427393362463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4.1823836703875417</v>
      </c>
      <c r="G1159" s="1">
        <f t="shared" ref="G1159" si="1296">SUM(G1160:G1161)</f>
        <v>4.0630613927112389</v>
      </c>
      <c r="H1159" s="1">
        <f t="shared" ref="H1159" si="1297">SUM(H1160:H1161)</f>
        <v>3.8907372163697502</v>
      </c>
      <c r="I1159" s="1">
        <f t="shared" ref="I1159" si="1298">SUM(I1160:I1161)</f>
        <v>3.6340429549970179</v>
      </c>
      <c r="J1159" s="1">
        <f t="shared" ref="J1159" si="1299">SUM(J1160:J1161)</f>
        <v>1.4241487189462867</v>
      </c>
      <c r="K1159" s="1">
        <f t="shared" ref="K1159:L1159" si="1300">SUM(K1160:K1161)</f>
        <v>3.3797316159140536</v>
      </c>
      <c r="L1159" s="1">
        <f t="shared" si="1300"/>
        <v>0.80415254614633525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4.1823836703875417</v>
      </c>
      <c r="G1160" s="1">
        <f>[1]Transport!C$25/SUM([1]Transport!C$21,[1]Transport!C$25)*G1157*(G$35+G$600)/(G$35+G$600+G$39)</f>
        <v>4.0630613927112389</v>
      </c>
      <c r="H1160" s="1">
        <f>[1]Transport!D$25/SUM([1]Transport!D$21,[1]Transport!D$25)*H1157*(H$35+H$600)/(H$35+H$600+H$39)</f>
        <v>3.8907372163697502</v>
      </c>
      <c r="I1160" s="1">
        <f>[1]Transport!E$25/SUM([1]Transport!E$21,[1]Transport!E$25)*I1157*(I$35+I$600)/(I$35+I$600+I$39)</f>
        <v>3.6340429549970179</v>
      </c>
      <c r="J1160" s="1">
        <f>[2]Transport!F$25/SUM([2]Transport!F$21,[2]Transport!F$25)*J1157*(J$35+J$600)/(J$35+J$600+J$39)</f>
        <v>1.4241487189462867</v>
      </c>
      <c r="K1160" s="1">
        <f>[2]Transport!G$25/SUM([2]Transport!G$21,[2]Transport!G$25)*K1157*(K$35+K$600)/(K$35+K$600+K$39)</f>
        <v>2.7125923802095797</v>
      </c>
      <c r="L1160" s="1">
        <f>[2]Transport!H$25/SUM([2]Transport!H$21,[2]Transport!H$25)*L1157*(L$35+L$600)/(L$35+L$600+L$39)</f>
        <v>6.9917682798364938E-2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0.66713923570447409</v>
      </c>
      <c r="L1161" s="1">
        <f>(L$39+L$719)/([2]Transport!H$21+[2]Transport!H$25)*L1157</f>
        <v>0.73423486334797028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1.2541470702660853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1.2428984975155788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0.92492862340533555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0.43894306232193969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3.4562473782819222E-2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6.8500025871825715E-2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5.3669332781251342E-2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5.0380087696886809E-2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2.9385034664648844E-3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3.3461468586975948E-4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0.10671818056945617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0.26178464552735076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0.90818979571190506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0.79148744138545257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0.51515361955813133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4.8309998879124759E-2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7.838652094740918E-2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1.1181971759736442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1.0629788244473974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0.85473147739132882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0.26442121061253676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1.857871194908584E-4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6.7089267003846625E-2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0.14587901738327488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0.14443568959558051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0.12548771866292832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1.6327472276243989E-2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1.9275072435405479E-4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63.987699774017699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53.341730855357618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42.583417893718476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13.115073269860021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0.35399510982523313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0.593377402922726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1.3337314082094138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1.1340892671018696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0.64107249642519604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8.4674054236631546E-2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3.4258884500046296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5.3189068088880536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5.9344730508635477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4.7386420001443739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0.62397728732177182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6.2733272213775726E-2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3.5980241919660059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5.7634447537405382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5.863588079970528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4.7454739339923995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0.27895651610031325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2.367629644539143E-3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3.2235515767342031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5.2671578420897625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10.110914407919049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8.4513605575928619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2.2536397218752673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0.27962334921696552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5.2251862294734877E-3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9.9901798112381063E-3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1.3943183261774164E-2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1.0915887796980645E-3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3.0738635276592513E-4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4.710348116162175E-3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1.3444635349838592E-2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1.7768605984967153E-2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1.1357209087080357E-3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2.8027200869822571E-4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6.1885180990463983E-3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1.634376145083432E-2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1.9505784989402912E-2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1.2015836930289029E-3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2.7037594356915553E-4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7.2911228055128627E-3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2.0417147427044927E-2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2.4000461696184167E-2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1.4696750310843516E-3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3.2743332381473823E-4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3.7884489438780506E-4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1.3199730675547194E-2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1.6192371056587721E-2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4.3534366629421332E-2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9.3040907066692258E-3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4.4311302657656614E-3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4.1997170223017385E-4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7.1247759812954198E-2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0.15693809918198898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0.15940138058342432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0.19111354729543278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4.4345565659482486E-2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1.9778201735106488E-2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3.1785986261927473E-3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7.670031938117032E-2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0.57608454027746359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1.5573973378062411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6.425498922820216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11.912071478547231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5.4421514470869683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0.78820385896655676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0.12530844171840649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0.31952629470149346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0.34585783247129392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0.33605734686565342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6.1309339667445034E-2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1.3006651812859642E-2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1.5568681264229868E-3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63.830657839193577</v>
      </c>
      <c r="G1180" s="1">
        <f t="shared" ref="G1180:K1180" si="1301">SUM(G1185:G1202)</f>
        <v>58.732613456278386</v>
      </c>
      <c r="H1180" s="1">
        <f t="shared" si="1301"/>
        <v>45.911417899058442</v>
      </c>
      <c r="I1180" s="1">
        <f t="shared" si="1301"/>
        <v>27.729181234819883</v>
      </c>
      <c r="J1180" s="1">
        <f t="shared" si="1301"/>
        <v>10.274575589836227</v>
      </c>
      <c r="K1180" s="1">
        <f t="shared" si="1301"/>
        <v>3.9259334160711963</v>
      </c>
      <c r="L1180" s="1">
        <f t="shared" ref="L1180" si="1302">SUM(L1185:L1202)</f>
        <v>0.54656608244202076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62.289807569495366</v>
      </c>
      <c r="G1181" s="1">
        <f t="shared" ref="G1181:L1181" si="1303">IF(G1180-G1182&lt;0,0,G1180-G1182)</f>
        <v>57.201379556424826</v>
      </c>
      <c r="H1181" s="1">
        <f t="shared" si="1303"/>
        <v>43.859840215355717</v>
      </c>
      <c r="I1181" s="1">
        <f t="shared" si="1303"/>
        <v>26.333784318249954</v>
      </c>
      <c r="J1181" s="1">
        <f t="shared" si="1303"/>
        <v>9.3885807544369051</v>
      </c>
      <c r="K1181" s="1">
        <f t="shared" si="1303"/>
        <v>3.2995156839211672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1.5408502696982103</v>
      </c>
      <c r="G1182" s="1">
        <f t="shared" ref="G1182" si="1307">SUM(G1183:G1184)</f>
        <v>1.5312338998535608</v>
      </c>
      <c r="H1182" s="1">
        <f t="shared" ref="H1182" si="1308">SUM(H1183:H1184)</f>
        <v>2.0515776837027264</v>
      </c>
      <c r="I1182" s="1">
        <f t="shared" ref="I1182" si="1309">SUM(I1183:I1184)</f>
        <v>1.395396916569928</v>
      </c>
      <c r="J1182" s="1">
        <f t="shared" ref="J1182" si="1310">SUM(J1183:J1184)</f>
        <v>0.88599483539932133</v>
      </c>
      <c r="K1182" s="1">
        <f t="shared" ref="K1182:L1182" si="1311">SUM(K1183:K1184)</f>
        <v>0.62641773215002883</v>
      </c>
      <c r="L1182" s="1">
        <f t="shared" si="1311"/>
        <v>0.64758729280017135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1.5408502696982103</v>
      </c>
      <c r="G1183" s="1">
        <f>[1]Transport!C$26/SUM([1]Transport!C$22,[1]Transport!C$26)*G1180*(G$34+G$582)/(G$34+G$582+G$38)</f>
        <v>1.5312338998535608</v>
      </c>
      <c r="H1183" s="1">
        <f>[1]Transport!D$26/SUM([1]Transport!D$22,[1]Transport!D$26)*H1180*(H$34+H$582)/(H$34+H$582+H$38)</f>
        <v>2.0515776837027264</v>
      </c>
      <c r="I1183" s="1">
        <f>[1]Transport!E$26/SUM([1]Transport!E$22,[1]Transport!E$26)*I1180*(I$34+I$582)/(I$34+I$582+I$38)</f>
        <v>1.395396916569928</v>
      </c>
      <c r="J1183" s="1">
        <f>[2]Transport!F$26/SUM([2]Transport!F$22,[2]Transport!F$26)*J1180*(J$34+J$582)/(J$34+J$582+J$38)</f>
        <v>0.88599483539932133</v>
      </c>
      <c r="K1183" s="1">
        <f>[2]Transport!G$26/SUM([2]Transport!G$22,[2]Transport!G$26)*K1180*(K$34+K$582)/(K$34+K$582+K$38)</f>
        <v>0.62579637651692388</v>
      </c>
      <c r="L1183" s="1">
        <f>[2]Transport!H$26/SUM([2]Transport!H$22,[2]Transport!H$26)*L1180*(L$34+L$582)/(L$34+L$582+L$38)</f>
        <v>0.23148988967897446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6.2135563310494496E-4</v>
      </c>
      <c r="L1184" s="1">
        <f>(L$38+L$718)/([2]Transport!H$22+[2]Transport!H$26)*L1180</f>
        <v>0.41609740312119692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5.7508868030672554E-5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0.11288426234783268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8.0292405616189652E-2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6.8773114482277367E-2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3.0639698266006935E-2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2.2578797342533022E-4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2.6620007396196323E-3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0.54496626784881763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1.290310101044863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1.0993347628420445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0.60184775027808413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4.3682586786508548E-2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2.6633986253751213E-2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5.6195667339234347E-2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5.9392820452294506E-2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4.8487289274720791E-2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6.8148964955854797E-3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1.5245135982629247E-4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3.461676317366575E-2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8.5017528116905133E-2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8.6868394884900446E-2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7.4341389127635729E-2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1.2988276911399798E-2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1.6216518816089111E-4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56.862333133602064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48.701009412538738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34.366996579087619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15.124975144400606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5.113645657383317E-3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1.872510548088327E-2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2.0787617333625094E-2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2.0716478813665961E-2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1.3264008145653099E-3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2.4118328202441737E-4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0.93556175462924263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1.2886117717252081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1.0977562077827692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0.85334610247168574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2.1842443548218037E-2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2.224695988594706E-4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4.0275380249776651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5.3313518822747357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5.2827989190884885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4.0391726993573265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0.13840438239605035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2.0646243745789906E-4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1.9295561383593771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2.2103243238560788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2.1622437766486806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1.5443498489322112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7.8332224690132277E-2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1.5564447036729207E-4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4.2666712583478142E-3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7.7981901919990269E-3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1.0691449807472823E-2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8.2695198904089132E-4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2.2745995929236048E-4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4.0438172509281601E-3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1.0462134986676341E-2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1.3462336258832605E-2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8.6592685288120429E-4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2.128654526796733E-4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5.07259037882623E-3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1.2107849347895468E-2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1.4374686791663833E-2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8.843299490320784E-4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2.0191696703906106E-4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3.9737014036536587E-3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9.047261878089052E-3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1.0870382096841612E-2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6.5248610054141252E-4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1.5531641043722798E-4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3.205461885737698E-5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1.2886631398702613E-2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1.5774433335830628E-2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4.4012758568556042E-2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9.873212291627376E-3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4.6494232653178031E-3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4.1548253196748011E-4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1.6812579385667848E-4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1.3164356501286428E-2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3.4816719584350453E-2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9.4833796726028291E-2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3.8042603274257132E-2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2.1709899661181999E-2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3.3014880306719025E-3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3.9730697789353134E-4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0.25562654307571175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1.2368801095341613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4.4791301740350402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9.2886434959719058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3.8392137701635787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0.54130749237688547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5.9873955421743119E-3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8.4492923482498344E-2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0.13708437826000472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0.18830882083327005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4.2590510006898584E-2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1.4514013095039503E-2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1.5416195024958502E-3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0.10701645395797613</v>
      </c>
      <c r="G1203" s="1">
        <f t="shared" ref="G1203:K1203" si="1312">SUM(G1208:G1212)</f>
        <v>0.11007557817701388</v>
      </c>
      <c r="H1203" s="1">
        <f t="shared" si="1312"/>
        <v>0.11237917083847564</v>
      </c>
      <c r="I1203" s="1">
        <f t="shared" si="1312"/>
        <v>2.7305557934010825E-2</v>
      </c>
      <c r="J1203" s="1">
        <f t="shared" si="1312"/>
        <v>1.3635419329054259E-2</v>
      </c>
      <c r="K1203" s="1">
        <f t="shared" si="1312"/>
        <v>1.4395636607556026E-3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9.8401853619462021E-2</v>
      </c>
      <c r="G1204" s="1">
        <f t="shared" ref="G1204:L1204" si="1314">IF(G1203-G1205&lt;0,0,G1203-G1205)</f>
        <v>9.9340382361580284E-2</v>
      </c>
      <c r="H1204" s="1">
        <f t="shared" si="1314"/>
        <v>0.10186739909231739</v>
      </c>
      <c r="I1204" s="1">
        <f t="shared" si="1314"/>
        <v>2.2736863742768454E-2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8.6146003385141091E-3</v>
      </c>
      <c r="G1205" s="1">
        <f t="shared" ref="G1205" si="1315">SUM(G1206:G1207)</f>
        <v>1.0735195815433597E-2</v>
      </c>
      <c r="H1205" s="1">
        <f t="shared" ref="H1205" si="1316">SUM(H1206:H1207)</f>
        <v>1.0511771746158249E-2</v>
      </c>
      <c r="I1205" s="1">
        <f t="shared" ref="I1205" si="1317">SUM(I1206:I1207)</f>
        <v>4.5686941912423699E-3</v>
      </c>
      <c r="J1205" s="1">
        <f t="shared" ref="J1205" si="1318">SUM(J1206:J1207)</f>
        <v>0.13018837363977234</v>
      </c>
      <c r="K1205" s="1">
        <f t="shared" ref="K1205:L1205" si="1319">SUM(K1206:K1207)</f>
        <v>0.59725368706291282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8.6146003385141091E-3</v>
      </c>
      <c r="G1206" s="1">
        <f>[1]Transport!C$27/SUM([1]Transport!C$24,[1]Transport!C$27)*G1203*(G$47+G$614)/(G$47+G$614+G$49)</f>
        <v>1.0735195815433597E-2</v>
      </c>
      <c r="H1206" s="1">
        <f>[1]Transport!D$27/SUM([1]Transport!D$24,[1]Transport!D$27)*H1203*(H$47+H$614)/(H$47+H$614+H$49)</f>
        <v>1.0511771746158249E-2</v>
      </c>
      <c r="I1206" s="1">
        <f>[1]Transport!E$27/SUM([1]Transport!E$24,[1]Transport!E$27)*I1203*(I$47+I$614)/(I$47+I$614+I$49)</f>
        <v>4.5686941912423699E-3</v>
      </c>
      <c r="J1206" s="1">
        <f>[2]Transport!F$27/SUM([2]Transport!F$24,[2]Transport!F$27)*J1203*(J$47+J$614)/(J$47+J$614+J$49)</f>
        <v>2.7193761593001225E-3</v>
      </c>
      <c r="K1206" s="1">
        <f>[2]Transport!G$27/SUM([2]Transport!G$24,[2]Transport!G$27)*K1203*(K$47+K$614)/(K$47+K$614+K$49)</f>
        <v>4.8184746526887793E-4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0.12746899748047222</v>
      </c>
      <c r="K1207" s="1">
        <f>(K$49+K$716)/([2]Transport!G$24+[2]Transport!G$27)*K1203</f>
        <v>0.5967718395976439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3.6152996598921281E-3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4.1075321129190982E-3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4.3521154003644449E-3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2.8844780859719299E-3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6.6367808045329009E-4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2.3736391927782347E-4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5.1000900720000422E-2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5.2144773369694718E-2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5.4166824796692443E-2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1.1199568113433638E-2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2.7893981799676799E-3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2.4957585649360183E-4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4.7779795070820906E-3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5.931798142028751E-3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7.8478699278894878E-3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7.3326300074867323E-3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2.2185138896425984E-3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4.3820419237833373E-4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4.7622274071001489E-2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4.7891474552371319E-2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4.6012360713529252E-2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5.8888817271185246E-3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7.9638291789906907E-3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5.1441969260584345E-4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49.007522712498542</v>
      </c>
      <c r="G1213" s="3">
        <f t="shared" ref="G1213:K1213" si="1320">SUM(G1214:G1263)</f>
        <v>55.674120021742709</v>
      </c>
      <c r="H1213" s="3">
        <f t="shared" si="1320"/>
        <v>58.443553720619185</v>
      </c>
      <c r="I1213" s="3">
        <f t="shared" si="1320"/>
        <v>62.343025856872885</v>
      </c>
      <c r="J1213" s="3">
        <f t="shared" si="1320"/>
        <v>70.220775874187254</v>
      </c>
      <c r="K1213" s="3">
        <f t="shared" si="1320"/>
        <v>70.764282400643765</v>
      </c>
      <c r="L1213" s="3">
        <f t="shared" ref="L1213" si="1321">SUM(L1214:L1263)</f>
        <v>71.142028278830765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0.41607209159050434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0.36072601065105986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0.2772929438843833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0.13873048884991923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2.1293432707779118E-2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3.9843895738932503E-2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3.7862782131930714E-2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0.87232245505684225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2.1427885146138888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2.6284834087046418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2.8463529258089766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9.7704854510058434E-2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0.1801618451461148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0.23821184453865535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7.5174324295340993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18.021095273612204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20.632768950014324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20.987273021549218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6.7634652364100198E-2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0.3445216291107594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1.1230997299616892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1.1811467051227369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2.5684833791879416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10.89777877609106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17.45576549010342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0.20566905811202962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1.166441124893274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3.7035806647945315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12.830236035830476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23.932926789993967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25.768724727043516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27.423730117897321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2.7004314564777013E-4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1.0488069241603934E-2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1.3204893737117701E-2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3.8855983269832618E-2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8.9061300872772531E-3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5.0916809003740951E-3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6.5375395092981381E-4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4.6888309295433465E-2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0.10465728765346596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0.10963711729267106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0.14624126323797113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3.6840124513485971E-2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2.0342483156298136E-2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4.8452582832974531E-3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4.1842817498000041E-2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0.37355714118959582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1.0513792682706502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4.9710062250111724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10.236137970715715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6.0444080796022543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1.42251634920456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6.5129774928634143E-2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0.19489914700311281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0.21884058665307157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0.24124625019774806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4.8468104076312475E-2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1.2964453731625747E-2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2.3696802759738396E-3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2.3348766953231078E-5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1.0345349101696327E-2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1.3024419692660771E-2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4.0019013166658339E-2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9.6404248911038572E-3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5.4479876319596327E-3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6.5178221397028274E-4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2.9019992042068946E-5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8.8499277489182265E-3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2.426225475064411E-2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7.3677234667547289E-2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3.2104531757751235E-2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2.2674980079483254E-2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5.0678145659909931E-3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2.1980876605530485E-4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0.16813802396124963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0.84726035832866553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3.5162773971313337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8.0995202029735278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4.3246762084619164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0.99026939712761886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3.1550796499823256E-3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5.2250073941965958E-2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8.7715512359107642E-2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0.13704880371612743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3.4119535016335661E-2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1.4656101326359194E-2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2.323920231760554E-3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4.7874992131993337E-4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5.8511662819146987E-4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1.7902928933471714E-4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4.0818906968414625E-5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4.0987687711697538E-5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3.4260282712449738E-5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1.5323322114038195E-4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5.0195009871120363E-4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7.341830719322424E-4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4.2120492448251555E-4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5.7921438909647515E-5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5.5009108466454895E-5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5.3056077010985799E-5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9.0139889696241437E-4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1.9321950628940702E-3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2.0213085723141669E-3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7.4024593401342774E-4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8.0041223951083808E-5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5.8101317057166462E-5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5.9983794304857841E-5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3.9973308685203928E-4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6.1830108148288449E-4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3.1778892702910653E-4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5.6776008480339735E-5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5.5311988463969875E-5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6.1467463714946934E-5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0.61929198768433291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0.62770377326903859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0.48270868795202665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0.24140975407941773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3.9544245761628724E-2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8.2418655385234726E-2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6.4090624872980534E-2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6.0292476359118212E-2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3.6989099415248431E-3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3.1100691791687446E-4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0.16550641813199138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0.53291916501859804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1.742719215255895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1.5086315959482244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0.97214009631952647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8.9571750431850228E-2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0.14797513335128124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2.78530886254278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2.6413605861523264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2.1318686565833258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0.67350018290523128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1.9506381989353456E-4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7.5599923996085908E-2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0.19799424185682285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0.19545508836373904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0.16798418529458203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2.5919949528665411E-2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1.6300086517604995E-4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18.303003603260866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15.605046012512398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12.873489581415408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4.1782672913611361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0.2414795429084732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0.39832977147202486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0.82922209280675696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0.70461294150453324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0.38424236402713358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5.0717057625629218E-2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2.0620696764592474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3.2151015741944118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3.5525871148069186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2.8522683683930317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0.35409355251978308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3.4712542295377104E-2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1.8536275275894587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2.9740341713020686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3.0191652936503859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2.4619557776828818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0.14387662507095586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1.1306202424318024E-3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1.3969638897573464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2.2823600066295726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4.3873848943075719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3.6932789459284985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0.97829031170596958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0.1214827003009181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2.7086125803752101E-3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5.3843627285739461E-3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7.8818516363841455E-3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6.2557568886879356E-4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1.8359712122450333E-4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1.9658030804223432E-3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5.8776644292743464E-3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8.1052224451632106E-3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5.2312573376709661E-4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1.3462091823062192E-4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2.4009588096443098E-3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6.6296719150267178E-3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8.2192878022129597E-3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5.1158666181528093E-4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1.2048021078156118E-4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2.8677778697233256E-3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8.39998395522892E-3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1.0223917124167717E-2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6.3217652756424915E-4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1.4707714869323103E-4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2.4052576622640294E-5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0.19158837462913669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0.13462212038638466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0.11232532080670031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5.1623851561064429E-2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2.2648427760562238E-4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3.2122077293299865E-3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1.4605929767174555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2.8937981857775195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2.4421622802251126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1.2885676699225419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8.5139105593511524E-2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2.3972516648662373E-2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7.19368995230103E-2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7.5683042431275327E-2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6.281361252420474E-2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9.9208019678079344E-3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1.3424492077102984E-4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4.6522939444611E-2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0.1355030272173558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0.13692709254562699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0.11637892974032932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2.0427295572245898E-2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1.4286331222961707E-4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19.277382899149952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17.235982275638197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12.930854952052627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6.254137252445382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3.8628922420706588E-3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1.670728459130252E-2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1.7952640075081051E-2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1.7125115728144031E-2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1.0782188534646942E-3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1.6425582998187563E-4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0.65903748475449886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0.90748083429040671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0.80219708408725143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0.64706115004486575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1.7989587467120226E-2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1.2586333692310257E-4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2.1530216980394234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2.8389965663152728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2.8107010649579305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2.186212677109538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8.1805261684773298E-2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1.0095610351019846E-4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0.89923816076204688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1.0071737896564095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0.98757858935679066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0.72518239330981704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3.0605278931329739E-2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6.564710787832581E-5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2.3980204899592336E-3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4.5210762304691357E-3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6.4430916944571218E-3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5.0418848680437061E-4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1.4374012026541476E-4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1.8282156736666552E-3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4.9075163393193892E-3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6.5452983153249707E-3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4.2496747367077757E-4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1.0834857931758173E-4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2.1319158746760086E-3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5.2703143471622719E-3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6.4650101546145505E-3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4.0174112392225419E-4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9.5434184438483971E-5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1.5872316024544359E-3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3.737431508930016E-3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4.6453621391426836E-3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2.8181482975325278E-4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6.9755839649006491E-5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2.2290503464519043E-3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2.5046079326976616E-3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2.6217632300642901E-3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1.7179765053750777E-3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3.7315663924233959E-4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1.3262937175490051E-4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3.2207778514484517E-2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3.3052267161579239E-2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3.3799698204680866E-2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6.1750877591011666E-3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1.4865205967174305E-3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1.1178815354868354E-4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2.2483731975374813E-3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2.8871316350043124E-3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3.8279842977189593E-3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3.5122311713715218E-3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1.0690091600120638E-3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1.9987709240591858E-4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3.2513786746818991E-2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3.241706271946581E-2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3.0747016428521508E-2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3.22424118941612E-3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4.8955142681646018E-3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2.2464207638442975E-4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0.8895119943136145</v>
      </c>
      <c r="G1265" s="1">
        <f t="shared" si="1325"/>
        <v>0.95694536964701904</v>
      </c>
      <c r="H1265" s="1">
        <f t="shared" si="1325"/>
        <v>1.0580954326471272</v>
      </c>
      <c r="I1265" s="1">
        <f t="shared" si="1325"/>
        <v>1.2266788709806391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1.8116719735064504</v>
      </c>
      <c r="G1266" s="1">
        <f t="shared" si="1325"/>
        <v>1.8116719735064535</v>
      </c>
      <c r="H1266" s="1">
        <f t="shared" si="1325"/>
        <v>1.8116719735064479</v>
      </c>
      <c r="I1266" s="1">
        <f t="shared" si="1325"/>
        <v>1.8116719735064502</v>
      </c>
      <c r="J1266" s="1">
        <f t="shared" si="1325"/>
        <v>1.8706228887781868</v>
      </c>
      <c r="K1266" s="1">
        <f t="shared" si="1325"/>
        <v>1.9243674734034653</v>
      </c>
      <c r="L1266" s="1">
        <f t="shared" ref="L1266" si="1330">IFERROR(L1215/L1139,"-")</f>
        <v>2.1172347950735837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1.4637982671179692</v>
      </c>
      <c r="G1267" s="1">
        <f t="shared" si="1325"/>
        <v>1.4637982671179701</v>
      </c>
      <c r="H1267" s="1">
        <f t="shared" si="1325"/>
        <v>1.463798267117969</v>
      </c>
      <c r="I1267" s="1">
        <f t="shared" si="1325"/>
        <v>1.4637982671179717</v>
      </c>
      <c r="J1267" s="1">
        <f t="shared" si="1325"/>
        <v>1.5222539018218184</v>
      </c>
      <c r="K1267" s="1">
        <f t="shared" si="1325"/>
        <v>1.5650512705279096</v>
      </c>
      <c r="L1267" s="1">
        <f t="shared" ref="L1267" si="1331">IFERROR(L1216/L1140,"-")</f>
        <v>1.7168532773529386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1.337452725149199</v>
      </c>
      <c r="G1268" s="1">
        <f t="shared" si="1325"/>
        <v>1.3374527251491997</v>
      </c>
      <c r="H1268" s="1">
        <f t="shared" si="1325"/>
        <v>1.3374527251492005</v>
      </c>
      <c r="I1268" s="1">
        <f t="shared" si="1325"/>
        <v>1.3374527251491977</v>
      </c>
      <c r="J1268" s="1">
        <f t="shared" si="1325"/>
        <v>1.3935792189964613</v>
      </c>
      <c r="K1268" s="1">
        <f t="shared" si="1325"/>
        <v>1.467761759953055</v>
      </c>
      <c r="L1268" s="1">
        <f t="shared" ref="L1268" si="1332">IFERROR(L1217/L1141,"-")</f>
        <v>1.5892331664077102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1.2949729235430789</v>
      </c>
      <c r="G1269" s="1">
        <f t="shared" si="1325"/>
        <v>1.2949729235430805</v>
      </c>
      <c r="H1269" s="1">
        <f t="shared" si="1325"/>
        <v>1.2949729235430818</v>
      </c>
      <c r="I1269" s="1">
        <f t="shared" si="1325"/>
        <v>1.2949729235430818</v>
      </c>
      <c r="J1269" s="1">
        <f t="shared" si="1325"/>
        <v>1.3316851251615704</v>
      </c>
      <c r="K1269" s="1">
        <f t="shared" si="1325"/>
        <v>1.370740423603964</v>
      </c>
      <c r="L1269" s="1">
        <f t="shared" ref="L1269" si="1333">IFERROR(L1218/L1142,"-")</f>
        <v>1.5269563776684114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0.71280661201504836</v>
      </c>
      <c r="G1270" s="1">
        <f t="shared" si="1334"/>
        <v>0.76053648612685576</v>
      </c>
      <c r="H1270" s="1">
        <f t="shared" si="1334"/>
        <v>0.77217007824362605</v>
      </c>
      <c r="I1270" s="1">
        <f t="shared" si="1334"/>
        <v>0.81248234839852174</v>
      </c>
      <c r="J1270" s="1">
        <f t="shared" si="1334"/>
        <v>0.84626108069350992</v>
      </c>
      <c r="K1270" s="1">
        <f t="shared" si="1334"/>
        <v>0.94866738812064244</v>
      </c>
      <c r="L1270" s="1">
        <f t="shared" ref="L1270" si="1335">IFERROR(L1219/SUM(L1143,L1176),"-")</f>
        <v>1.0923585864930254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0.62829134786923002</v>
      </c>
      <c r="G1271" s="1">
        <f t="shared" si="1334"/>
        <v>0.63285052793487406</v>
      </c>
      <c r="H1271" s="1">
        <f t="shared" si="1334"/>
        <v>0.64423193779497667</v>
      </c>
      <c r="I1271" s="1">
        <f t="shared" si="1334"/>
        <v>0.6837674084168156</v>
      </c>
      <c r="J1271" s="1">
        <f t="shared" si="1334"/>
        <v>0.71785920424341099</v>
      </c>
      <c r="K1271" s="1">
        <f t="shared" si="1334"/>
        <v>0.82007042014104281</v>
      </c>
      <c r="L1271" s="1">
        <f t="shared" ref="L1271" si="1336">IFERROR(L1220/SUM(L1144,L1177),"-")</f>
        <v>1.0093429319745126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0.54553641804355146</v>
      </c>
      <c r="G1272" s="1">
        <f t="shared" si="1334"/>
        <v>0.60412732111652168</v>
      </c>
      <c r="H1272" s="1">
        <f t="shared" si="1334"/>
        <v>0.61797639651612257</v>
      </c>
      <c r="I1272" s="1">
        <f t="shared" si="1334"/>
        <v>0.66533434088573995</v>
      </c>
      <c r="J1272" s="1">
        <f t="shared" si="1334"/>
        <v>0.70818840629358204</v>
      </c>
      <c r="K1272" s="1">
        <f t="shared" si="1334"/>
        <v>0.82523544693026973</v>
      </c>
      <c r="L1272" s="1">
        <f t="shared" ref="L1272" si="1337">IFERROR(L1221/SUM(L1145,L1178),"-")</f>
        <v>1.0590604287125602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0.51975568473665934</v>
      </c>
      <c r="G1273" s="1">
        <f t="shared" si="1334"/>
        <v>0.57148667970663569</v>
      </c>
      <c r="H1273" s="1">
        <f t="shared" si="1334"/>
        <v>0.58354737620398478</v>
      </c>
      <c r="I1273" s="1">
        <f t="shared" si="1334"/>
        <v>0.62540859997545784</v>
      </c>
      <c r="J1273" s="1">
        <f t="shared" si="1334"/>
        <v>0.6612668647765948</v>
      </c>
      <c r="K1273" s="1">
        <f t="shared" si="1334"/>
        <v>0.75689242115126398</v>
      </c>
      <c r="L1273" s="1">
        <f t="shared" ref="L1273" si="1338">IFERROR(L1222/SUM(L1146,L1179),"-")</f>
        <v>0.92319872798404645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0.7284056958255688</v>
      </c>
      <c r="G1274" s="1">
        <f t="shared" si="1339"/>
        <v>0.76797063330035009</v>
      </c>
      <c r="H1274" s="1">
        <f t="shared" si="1339"/>
        <v>0.78118670989850647</v>
      </c>
      <c r="I1274" s="1">
        <f t="shared" si="1339"/>
        <v>0.82627332767278949</v>
      </c>
      <c r="J1274" s="1">
        <f t="shared" si="1339"/>
        <v>0.86095440407083024</v>
      </c>
      <c r="K1274" s="1">
        <f t="shared" si="1339"/>
        <v>0.96390507971060913</v>
      </c>
      <c r="L1274" s="1">
        <f t="shared" ref="L1274" si="1340">IFERROR(L1223/SUM(L1147,L1199),"-")</f>
        <v>1.0981665941615624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0.15630346184360736</v>
      </c>
      <c r="G1275" s="1">
        <f t="shared" si="1339"/>
        <v>0.6375566704110105</v>
      </c>
      <c r="H1275" s="1">
        <f t="shared" si="1339"/>
        <v>0.6521991785575062</v>
      </c>
      <c r="I1275" s="1">
        <f t="shared" si="1339"/>
        <v>0.69306091339843867</v>
      </c>
      <c r="J1275" s="1">
        <f t="shared" si="1339"/>
        <v>0.72749892515021031</v>
      </c>
      <c r="K1275" s="1">
        <f t="shared" si="1339"/>
        <v>0.83027379928109257</v>
      </c>
      <c r="L1275" s="1">
        <f t="shared" ref="L1275" si="1341">IFERROR(L1224/SUM(L1148,L1200),"-")</f>
        <v>1.0120816639575585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0.55324667898032309</v>
      </c>
      <c r="G1276" s="1">
        <f t="shared" si="1339"/>
        <v>0.6122139346992348</v>
      </c>
      <c r="H1276" s="1">
        <f t="shared" si="1339"/>
        <v>0.62627032546011163</v>
      </c>
      <c r="I1276" s="1">
        <f t="shared" si="1339"/>
        <v>0.67374687868855332</v>
      </c>
      <c r="J1276" s="1">
        <f t="shared" si="1339"/>
        <v>0.71676950150468233</v>
      </c>
      <c r="K1276" s="1">
        <f t="shared" si="1339"/>
        <v>0.83390103913492397</v>
      </c>
      <c r="L1276" s="1">
        <f t="shared" ref="L1276" si="1342">IFERROR(L1225/SUM(L1149,L1201),"-")</f>
        <v>1.0673729159913534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0.52695360240665912</v>
      </c>
      <c r="G1277" s="1">
        <f t="shared" si="1339"/>
        <v>0.57891994111810907</v>
      </c>
      <c r="H1277" s="1">
        <f t="shared" si="1339"/>
        <v>0.59018486863272035</v>
      </c>
      <c r="I1277" s="1">
        <f t="shared" si="1339"/>
        <v>0.63293536827314922</v>
      </c>
      <c r="J1277" s="1">
        <f t="shared" si="1339"/>
        <v>0.66824168915940563</v>
      </c>
      <c r="K1277" s="1">
        <f t="shared" si="1339"/>
        <v>0.7644320709442346</v>
      </c>
      <c r="L1277" s="1">
        <f t="shared" ref="L1277" si="1343">IFERROR(L1226/SUM(L1150,L1202),"-")</f>
        <v>0.91611956848927156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1.0965696656165198</v>
      </c>
      <c r="H1278" s="1">
        <f t="shared" si="1344"/>
        <v>1.0965696656165205</v>
      </c>
      <c r="I1278" s="1">
        <f t="shared" si="1344"/>
        <v>1.0965696656165196</v>
      </c>
      <c r="J1278" s="1">
        <f t="shared" si="1344"/>
        <v>1.1210012631645636</v>
      </c>
      <c r="K1278" s="1">
        <f t="shared" si="1344"/>
        <v>1.1909699091837895</v>
      </c>
      <c r="L1278" s="1">
        <f t="shared" ref="L1278" si="1345">IFERROR(L1227/L1153,"-")</f>
        <v>1.3079154484468207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0.89149519806162214</v>
      </c>
      <c r="G1279" s="1">
        <f t="shared" si="1346"/>
        <v>0.89149519806161936</v>
      </c>
      <c r="H1279" s="1">
        <f t="shared" si="1346"/>
        <v>0.89149519806162214</v>
      </c>
      <c r="I1279" s="1">
        <f t="shared" si="1346"/>
        <v>0.89149519806162114</v>
      </c>
      <c r="J1279" s="1">
        <f t="shared" si="1346"/>
        <v>0.91186833794520683</v>
      </c>
      <c r="K1279" s="1">
        <f t="shared" si="1346"/>
        <v>0.9705751262831378</v>
      </c>
      <c r="L1279" s="1">
        <f t="shared" ref="L1279" si="1347">IFERROR(L1228/L1154,"-")</f>
        <v>1.0750097046355611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0.83000507256490652</v>
      </c>
      <c r="G1280" s="1">
        <f t="shared" si="1348"/>
        <v>0.83000507256490652</v>
      </c>
      <c r="H1280" s="1">
        <f t="shared" si="1348"/>
        <v>0.83000507256490674</v>
      </c>
      <c r="I1280" s="1">
        <f t="shared" si="1348"/>
        <v>0.83000507256490619</v>
      </c>
      <c r="J1280" s="1">
        <f t="shared" si="1348"/>
        <v>0.84388579038967848</v>
      </c>
      <c r="K1280" s="1">
        <f t="shared" si="1348"/>
        <v>0.90213377264915784</v>
      </c>
      <c r="L1280" s="1">
        <f t="shared" ref="L1280" si="1349">IFERROR(L1229/L1155,"-")</f>
        <v>1.0063208099855716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0.83675282096654136</v>
      </c>
      <c r="H1281" s="1">
        <f t="shared" si="1350"/>
        <v>0.83675282096654213</v>
      </c>
      <c r="I1281" s="1">
        <f t="shared" si="1350"/>
        <v>0.83675282096654158</v>
      </c>
      <c r="J1281" s="1">
        <f t="shared" si="1350"/>
        <v>0.85482907940561614</v>
      </c>
      <c r="K1281" s="1">
        <f t="shared" si="1350"/>
        <v>0.90830324125914419</v>
      </c>
      <c r="L1281" s="1">
        <f t="shared" ref="L1281" si="1351">IFERROR(L1230/L1156,"-")</f>
        <v>1.0059773409236297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0.4937953469467829</v>
      </c>
      <c r="G1282" s="1">
        <f t="shared" si="1352"/>
        <v>0.50503220860251363</v>
      </c>
      <c r="H1282" s="1">
        <f t="shared" si="1352"/>
        <v>0.52188750108611037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1.1441381774381527</v>
      </c>
      <c r="G1283" s="1">
        <f t="shared" si="1352"/>
        <v>1.2031915949849852</v>
      </c>
      <c r="H1283" s="1">
        <f t="shared" si="1352"/>
        <v>1.194175920431225</v>
      </c>
      <c r="I1283" s="1">
        <f t="shared" si="1352"/>
        <v>1.1967521121017011</v>
      </c>
      <c r="J1283" s="1">
        <f t="shared" si="1352"/>
        <v>1.2587733803066607</v>
      </c>
      <c r="K1283" s="1">
        <f t="shared" si="1352"/>
        <v>0.92944790246871067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1.5508736866467998</v>
      </c>
      <c r="G1284" s="1">
        <f t="shared" si="1352"/>
        <v>2.0357158990171547</v>
      </c>
      <c r="H1284" s="1">
        <f t="shared" si="1352"/>
        <v>1.9188931911416438</v>
      </c>
      <c r="I1284" s="1">
        <f t="shared" si="1352"/>
        <v>1.9060714258554157</v>
      </c>
      <c r="J1284" s="1">
        <f t="shared" si="1352"/>
        <v>1.8870877722908586</v>
      </c>
      <c r="K1284" s="1">
        <f t="shared" si="1352"/>
        <v>1.8541037571945607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1.8877624821563419</v>
      </c>
      <c r="G1285" s="1">
        <f t="shared" si="1352"/>
        <v>2.4908924136009709</v>
      </c>
      <c r="H1285" s="1">
        <f t="shared" si="1352"/>
        <v>2.4848666082557855</v>
      </c>
      <c r="I1285" s="1">
        <f t="shared" si="1352"/>
        <v>2.4941969647471804</v>
      </c>
      <c r="J1285" s="1">
        <f t="shared" si="1352"/>
        <v>2.5470732145316757</v>
      </c>
      <c r="K1285" s="1">
        <f t="shared" si="1352"/>
        <v>1.0499318813279337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1.1268557158591599</v>
      </c>
      <c r="G1286" s="1">
        <f t="shared" si="1352"/>
        <v>1.35724962649442</v>
      </c>
      <c r="H1286" s="1">
        <f t="shared" si="1352"/>
        <v>1.3532326318447518</v>
      </c>
      <c r="I1286" s="1">
        <f t="shared" si="1352"/>
        <v>1.3386504040750249</v>
      </c>
      <c r="J1286" s="1">
        <f t="shared" si="1352"/>
        <v>1.5875053462119919</v>
      </c>
      <c r="K1286" s="1">
        <f t="shared" si="1352"/>
        <v>0.84565630413217685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0.28603940550919488</v>
      </c>
      <c r="G1287" s="1">
        <f t="shared" si="1352"/>
        <v>0.29254854993039719</v>
      </c>
      <c r="H1287" s="1">
        <f t="shared" si="1352"/>
        <v>0.30231226656220073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0.6821550247620406</v>
      </c>
      <c r="G1288" s="1">
        <f t="shared" si="1352"/>
        <v>0.67129245149886219</v>
      </c>
      <c r="H1288" s="1">
        <f t="shared" si="1352"/>
        <v>0.62173094800250661</v>
      </c>
      <c r="I1288" s="1">
        <f t="shared" si="1352"/>
        <v>0.62130289205994338</v>
      </c>
      <c r="J1288" s="1">
        <f t="shared" si="1352"/>
        <v>0.59937427696520928</v>
      </c>
      <c r="K1288" s="1">
        <f t="shared" si="1352"/>
        <v>0.598968102836962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0.60190800329662242</v>
      </c>
      <c r="G1289" s="1">
        <f t="shared" si="1352"/>
        <v>0.60446661122580303</v>
      </c>
      <c r="H1289" s="1">
        <f t="shared" si="1352"/>
        <v>0.59863564706726036</v>
      </c>
      <c r="I1289" s="1">
        <f t="shared" si="1352"/>
        <v>0.60191682940094027</v>
      </c>
      <c r="J1289" s="1">
        <f t="shared" si="1352"/>
        <v>0.56747827158840891</v>
      </c>
      <c r="K1289" s="1">
        <f t="shared" si="1352"/>
        <v>0.55333543222625814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0.51517928415501102</v>
      </c>
      <c r="G1290" s="1">
        <f t="shared" si="1352"/>
        <v>0.51601677440768179</v>
      </c>
      <c r="H1290" s="1">
        <f t="shared" si="1352"/>
        <v>0.51490064657910983</v>
      </c>
      <c r="I1290" s="1">
        <f t="shared" si="1352"/>
        <v>0.51880082198905297</v>
      </c>
      <c r="J1290" s="1">
        <f t="shared" si="1352"/>
        <v>0.51576721376609669</v>
      </c>
      <c r="K1290" s="1">
        <f t="shared" si="1352"/>
        <v>0.47753255879336509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0.43336173053344407</v>
      </c>
      <c r="G1291" s="1">
        <f t="shared" si="1352"/>
        <v>0.4333190830909367</v>
      </c>
      <c r="H1291" s="1">
        <f t="shared" si="1352"/>
        <v>0.43392562900851911</v>
      </c>
      <c r="I1291" s="1">
        <f t="shared" si="1352"/>
        <v>0.43700406825151805</v>
      </c>
      <c r="J1291" s="1">
        <f t="shared" si="1352"/>
        <v>0.43409348096328737</v>
      </c>
      <c r="K1291" s="1">
        <f t="shared" si="1352"/>
        <v>0.434451202451828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0.5183762762553521</v>
      </c>
      <c r="H1292" s="1">
        <f t="shared" si="1352"/>
        <v>0.5389655471983591</v>
      </c>
      <c r="I1292" s="1">
        <f t="shared" si="1352"/>
        <v>0.56528351441758495</v>
      </c>
      <c r="J1292" s="1">
        <f t="shared" si="1352"/>
        <v>0.57308732052177103</v>
      </c>
      <c r="K1292" s="1">
        <f t="shared" si="1352"/>
        <v>0.59728455597478214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0.41733711223535003</v>
      </c>
      <c r="H1293" s="1">
        <f t="shared" si="1352"/>
        <v>0.43717544405880149</v>
      </c>
      <c r="I1293" s="1">
        <f t="shared" si="1352"/>
        <v>0.45615409852750999</v>
      </c>
      <c r="J1293" s="1">
        <f t="shared" si="1352"/>
        <v>0.46061116754660247</v>
      </c>
      <c r="K1293" s="1">
        <f t="shared" si="1352"/>
        <v>0.48032237987622539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0.38796990995538633</v>
      </c>
      <c r="H1294" s="1">
        <f t="shared" si="1352"/>
        <v>0.40563929759806211</v>
      </c>
      <c r="I1294" s="1">
        <f t="shared" si="1352"/>
        <v>0.42137693031469015</v>
      </c>
      <c r="J1294" s="1">
        <f t="shared" si="1352"/>
        <v>0.42576032346585385</v>
      </c>
      <c r="K1294" s="1">
        <f t="shared" si="1352"/>
        <v>0.44560255321215475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0.39332458747711413</v>
      </c>
      <c r="H1295" s="1">
        <f t="shared" si="1352"/>
        <v>0.41141809771634147</v>
      </c>
      <c r="I1295" s="1">
        <f t="shared" si="1352"/>
        <v>0.42598835195712997</v>
      </c>
      <c r="J1295" s="1">
        <f t="shared" si="1352"/>
        <v>0.43014715103230566</v>
      </c>
      <c r="K1295" s="1">
        <f t="shared" si="1352"/>
        <v>0.44918197995158027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0.41824117647058834</v>
      </c>
      <c r="G1297" s="1">
        <f t="shared" si="1367"/>
        <v>1.6972106708620849</v>
      </c>
      <c r="H1297" s="1">
        <f t="shared" si="1367"/>
        <v>1.67664823781591</v>
      </c>
      <c r="I1297" s="1">
        <f t="shared" si="1367"/>
        <v>1.6332737240749249</v>
      </c>
      <c r="J1297" s="1">
        <f t="shared" si="1367"/>
        <v>1.6848681443556597</v>
      </c>
      <c r="K1297" s="1">
        <f t="shared" si="1367"/>
        <v>1.0030838851588455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1.2066892700371572</v>
      </c>
      <c r="G1298" s="1">
        <f t="shared" si="1367"/>
        <v>2.6801529982451084</v>
      </c>
      <c r="H1298" s="1">
        <f t="shared" si="1367"/>
        <v>2.2427152848250893</v>
      </c>
      <c r="I1298" s="1">
        <f t="shared" si="1367"/>
        <v>2.2214909987122908</v>
      </c>
      <c r="J1298" s="1">
        <f t="shared" si="1367"/>
        <v>2.1410193347522832</v>
      </c>
      <c r="K1298" s="1">
        <f t="shared" si="1367"/>
        <v>1.9490399231532438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0.90007242702117152</v>
      </c>
      <c r="G1299" s="1">
        <f t="shared" si="1367"/>
        <v>1.2801146944078701</v>
      </c>
      <c r="H1299" s="1">
        <f t="shared" si="1367"/>
        <v>1.2742793128012071</v>
      </c>
      <c r="I1299" s="1">
        <f t="shared" si="1367"/>
        <v>1.2954655429036963</v>
      </c>
      <c r="J1299" s="1">
        <f t="shared" si="1367"/>
        <v>1.4557524056652045</v>
      </c>
      <c r="K1299" s="1">
        <f t="shared" si="1367"/>
        <v>0.88057542368918473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1.343942505866716</v>
      </c>
      <c r="G1300" s="1">
        <f t="shared" si="1367"/>
        <v>1.5938245938064621</v>
      </c>
      <c r="H1300" s="1">
        <f t="shared" si="1367"/>
        <v>1.5762590379050252</v>
      </c>
      <c r="I1300" s="1">
        <f t="shared" si="1367"/>
        <v>1.5654661704063655</v>
      </c>
      <c r="J1300" s="1">
        <f t="shared" si="1367"/>
        <v>1.5727486957347576</v>
      </c>
      <c r="K1300" s="1">
        <f t="shared" si="1367"/>
        <v>0.88097398615463751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0.33901850024086033</v>
      </c>
      <c r="G1301" s="1">
        <f t="shared" si="1367"/>
        <v>0.35391427166601108</v>
      </c>
      <c r="H1301" s="1">
        <f t="shared" si="1367"/>
        <v>0.37625792880373715</v>
      </c>
      <c r="I1301" s="1">
        <f t="shared" si="1367"/>
        <v>0.41349735736661469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0.75540866553654085</v>
      </c>
      <c r="G1302" s="1">
        <f t="shared" si="1367"/>
        <v>0.89223981185896273</v>
      </c>
      <c r="H1302" s="1">
        <f t="shared" si="1367"/>
        <v>0.86362182769459039</v>
      </c>
      <c r="I1302" s="1">
        <f t="shared" si="1367"/>
        <v>0.82664220508589381</v>
      </c>
      <c r="J1302" s="1">
        <f t="shared" si="1367"/>
        <v>0.81289067499408152</v>
      </c>
      <c r="K1302" s="1">
        <f t="shared" si="1367"/>
        <v>0.68104152411876706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0.70442969851377835</v>
      </c>
      <c r="G1303" s="1">
        <f t="shared" si="1367"/>
        <v>0.70423137069084896</v>
      </c>
      <c r="H1303" s="1">
        <f t="shared" si="1367"/>
        <v>0.73076069021510393</v>
      </c>
      <c r="I1303" s="1">
        <f t="shared" si="1367"/>
        <v>0.75826343868059731</v>
      </c>
      <c r="J1303" s="1">
        <f t="shared" si="1367"/>
        <v>0.82360691135163144</v>
      </c>
      <c r="K1303" s="1">
        <f t="shared" si="1367"/>
        <v>0.56575522034634407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0.53457513862984896</v>
      </c>
      <c r="G1304" s="1">
        <f t="shared" si="1367"/>
        <v>0.53250969529025982</v>
      </c>
      <c r="H1304" s="1">
        <f t="shared" si="1367"/>
        <v>0.53204770955826919</v>
      </c>
      <c r="I1304" s="1">
        <f t="shared" si="1367"/>
        <v>0.54125258805036658</v>
      </c>
      <c r="J1304" s="1">
        <f t="shared" si="1367"/>
        <v>0.59105976464447396</v>
      </c>
      <c r="K1304" s="1">
        <f t="shared" si="1367"/>
        <v>0.48898048842799791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0.46603368665222272</v>
      </c>
      <c r="G1305" s="1">
        <f t="shared" si="1367"/>
        <v>0.45566787587955337</v>
      </c>
      <c r="H1305" s="1">
        <f t="shared" si="1367"/>
        <v>0.45673785723063343</v>
      </c>
      <c r="I1305" s="1">
        <f t="shared" si="1367"/>
        <v>0.46957131754260217</v>
      </c>
      <c r="J1305" s="1">
        <f t="shared" si="1367"/>
        <v>0.39071121817870658</v>
      </c>
      <c r="K1305" s="1">
        <f t="shared" si="1367"/>
        <v>0.42177603690905829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0.56203544748554657</v>
      </c>
      <c r="H1306" s="1">
        <f t="shared" si="1367"/>
        <v>0.57975967745795398</v>
      </c>
      <c r="I1306" s="1">
        <f t="shared" si="1367"/>
        <v>0.60263966164380267</v>
      </c>
      <c r="J1306" s="1">
        <f t="shared" si="1367"/>
        <v>0.60969499255831572</v>
      </c>
      <c r="K1306" s="1">
        <f t="shared" si="1367"/>
        <v>0.63193592715217928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0.45210145766281418</v>
      </c>
      <c r="H1307" s="1">
        <f t="shared" si="1367"/>
        <v>0.469074079580236</v>
      </c>
      <c r="I1307" s="1">
        <f t="shared" si="1367"/>
        <v>0.48619334634659844</v>
      </c>
      <c r="J1307" s="1">
        <f t="shared" si="1367"/>
        <v>0.49076601823442756</v>
      </c>
      <c r="K1307" s="1">
        <f t="shared" si="1367"/>
        <v>0.50900030020666676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0.42028149632876965</v>
      </c>
      <c r="H1308" s="1">
        <f t="shared" si="1367"/>
        <v>0.43528079972999784</v>
      </c>
      <c r="I1308" s="1">
        <f t="shared" si="1367"/>
        <v>0.44974963617041996</v>
      </c>
      <c r="J1308" s="1">
        <f t="shared" si="1367"/>
        <v>0.45428872375290474</v>
      </c>
      <c r="K1308" s="1">
        <f t="shared" si="1367"/>
        <v>0.47264073860629119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0.39943403925494758</v>
      </c>
      <c r="H1309" s="1">
        <f t="shared" si="1367"/>
        <v>0.4131008430275957</v>
      </c>
      <c r="I1309" s="1">
        <f t="shared" si="1367"/>
        <v>0.42734120086656319</v>
      </c>
      <c r="J1309" s="1">
        <f t="shared" si="1367"/>
        <v>0.43190932269578108</v>
      </c>
      <c r="K1309" s="1">
        <f t="shared" si="1367"/>
        <v>0.44912085884961084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0.61656032864462851</v>
      </c>
      <c r="G1311" s="1">
        <f t="shared" si="1382"/>
        <v>0.19025676890875068</v>
      </c>
      <c r="H1311" s="1">
        <f t="shared" si="1382"/>
        <v>7.5301845244568358E-2</v>
      </c>
      <c r="I1311" s="1">
        <f t="shared" si="1382"/>
        <v>1.8115656703466751E-2</v>
      </c>
      <c r="J1311" s="1">
        <f t="shared" si="1382"/>
        <v>9.808914404521028E-3</v>
      </c>
      <c r="K1311" s="1">
        <f t="shared" si="1382"/>
        <v>6.1091655799794461E-3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0.63151391563274828</v>
      </c>
      <c r="G1312" s="1">
        <f t="shared" si="1382"/>
        <v>0.12929904212564414</v>
      </c>
      <c r="H1312" s="1">
        <f t="shared" si="1382"/>
        <v>2.732657590994057E-2</v>
      </c>
      <c r="I1312" s="1">
        <f t="shared" si="1382"/>
        <v>1.3786354759005178E-3</v>
      </c>
      <c r="J1312" s="1">
        <f t="shared" si="1382"/>
        <v>1.6003634948010136E-4</v>
      </c>
      <c r="K1312" s="1">
        <f t="shared" si="1382"/>
        <v>2.9117460042846363E-5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0.47056987042427928</v>
      </c>
      <c r="G1313" s="1">
        <f t="shared" si="1382"/>
        <v>3.4170099885374963E-2</v>
      </c>
      <c r="H1313" s="1">
        <f t="shared" si="1382"/>
        <v>2.7924292660528476E-2</v>
      </c>
      <c r="I1313" s="1">
        <f t="shared" si="1382"/>
        <v>1.8651442645277228E-2</v>
      </c>
      <c r="J1313" s="1">
        <f t="shared" si="1382"/>
        <v>2.5099703193009696E-2</v>
      </c>
      <c r="K1313" s="1">
        <f t="shared" si="1382"/>
        <v>1.3771318180375016E-2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0.68274326207822844</v>
      </c>
      <c r="G1314" s="1">
        <f t="shared" si="1382"/>
        <v>0.29449822800235975</v>
      </c>
      <c r="H1314" s="1">
        <f t="shared" si="1382"/>
        <v>0.27360066993833476</v>
      </c>
      <c r="I1314" s="1">
        <f t="shared" si="1382"/>
        <v>0.1180800332741094</v>
      </c>
      <c r="J1314" s="1">
        <f t="shared" si="1382"/>
        <v>0.35902924215416487</v>
      </c>
      <c r="K1314" s="1">
        <f t="shared" si="1382"/>
        <v>0.15604872678330803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0.76963100812308505</v>
      </c>
      <c r="G1315" s="3">
        <f t="shared" ref="G1315:K1315" si="1390">G1316+G1322+G1327+G1341</f>
        <v>1.2426443919417429</v>
      </c>
      <c r="H1315" s="3">
        <f t="shared" si="1390"/>
        <v>2.1644975272534142</v>
      </c>
      <c r="I1315" s="3">
        <f t="shared" si="1390"/>
        <v>1.2009294726830784</v>
      </c>
      <c r="J1315" s="3">
        <f t="shared" si="1390"/>
        <v>2.2398328519047741</v>
      </c>
      <c r="K1315" s="3">
        <f t="shared" si="1390"/>
        <v>1.6856437757120815</v>
      </c>
      <c r="L1315" s="3">
        <f t="shared" ref="L1315" si="1391">L1316+L1322+L1327+L1341</f>
        <v>1.5454209396811853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1.5688690474607692E-2</v>
      </c>
      <c r="G1316" s="1">
        <f t="shared" ref="G1316:K1316" si="1392">SUM(G1317:G1321)</f>
        <v>6.8219399331181763E-2</v>
      </c>
      <c r="H1316" s="1">
        <f t="shared" si="1392"/>
        <v>0.11922833806876831</v>
      </c>
      <c r="I1316" s="1">
        <f t="shared" si="1392"/>
        <v>1.1924903328379295</v>
      </c>
      <c r="J1316" s="1">
        <f t="shared" si="1392"/>
        <v>0.92788113393556526</v>
      </c>
      <c r="K1316" s="1">
        <f t="shared" si="1392"/>
        <v>1.2034476133970267</v>
      </c>
      <c r="L1316" s="1">
        <f t="shared" ref="L1316" si="1393">SUM(L1317:L1321)</f>
        <v>1.2628238051802789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4.9389053266720774E-4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5.0514049158053328E-4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4.9380192075901719E-4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5.5770089166643053E-5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3.2695543653846922E-2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4.662099818298291E-2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0.23800502487370898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0.27338632092672982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0.1261292370660359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0.19775974269128738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2.4114276961859889E-3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8.7002386186926829E-3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2.4859355223832098E-2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0.12427537942333484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0.1236299719512068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0.14395900436649242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0.14271563603879092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1.124793842669136E-2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2.1967993787638643E-2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3.9900623509673903E-2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0.80531207199989374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0.53059445769561753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0.93317430875459129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0.92216573377944377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1.4796637298964924E-3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4.3504827794229933E-3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7.3535592315203662E-3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2.4897856540991838E-2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2.7038336201113528E-4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1.850632099072678E-4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1.8269267075684954E-4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5.5006312076088962E-4</v>
      </c>
      <c r="J1322" s="1">
        <f t="shared" si="1396"/>
        <v>4.6886719158478602E-5</v>
      </c>
      <c r="K1322" s="1">
        <f t="shared" si="1396"/>
        <v>1.2270650983037406E-6</v>
      </c>
      <c r="L1322" s="1">
        <f t="shared" ref="L1322" si="1397">SUM(L1323:L1326)</f>
        <v>3.773351798194578E-5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1.2057647434999166E-4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1.0880511811747847E-5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1.2270650983037406E-6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1.9459897307784088E-6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1.043825120630263E-4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1.4237170207255916E-5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1.6145010233653467E-4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2.1769037139474839E-5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3.4821498199993349E-5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1.6365403201133697E-4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9.6603005117402504E-7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0.7536227296849396</v>
      </c>
      <c r="G1327" s="1">
        <f t="shared" ref="G1327:K1327" si="1398">SUM(G1332:G1340)</f>
        <v>1.1676086215176547</v>
      </c>
      <c r="H1327" s="1">
        <f t="shared" si="1398"/>
        <v>2.0203601521409085</v>
      </c>
      <c r="I1327" s="1">
        <f t="shared" si="1398"/>
        <v>4.5466620915683631E-3</v>
      </c>
      <c r="J1327" s="1">
        <f t="shared" si="1398"/>
        <v>1.3045840211343636</v>
      </c>
      <c r="K1327" s="1">
        <f t="shared" si="1398"/>
        <v>0.48086180790513661</v>
      </c>
      <c r="L1327" s="1">
        <f t="shared" ref="L1327" si="1399">SUM(L1332:L1340)</f>
        <v>0.28209160374233649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0.73543053449855811</v>
      </c>
      <c r="G1328" s="1">
        <f t="shared" ref="G1328:L1328" si="1400">IF(G1327-G1329&lt;0,0,G1327-G1329)</f>
        <v>1.1371675803683441</v>
      </c>
      <c r="H1328" s="1">
        <f t="shared" si="1400"/>
        <v>1.9300792157017936</v>
      </c>
      <c r="I1328" s="1">
        <f t="shared" si="1400"/>
        <v>4.3178634765088913E-3</v>
      </c>
      <c r="J1328" s="1">
        <f t="shared" si="1400"/>
        <v>1.1920874323494297</v>
      </c>
      <c r="K1328" s="1">
        <f t="shared" si="1400"/>
        <v>0.40413601272164645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1.8192195186381478E-2</v>
      </c>
      <c r="G1329" s="1">
        <f t="shared" ref="G1329" si="1401">SUM(G1330:G1331)</f>
        <v>3.0441041149310507E-2</v>
      </c>
      <c r="H1329" s="1">
        <f t="shared" ref="H1329" si="1402">SUM(H1330:H1331)</f>
        <v>9.0280936439114792E-2</v>
      </c>
      <c r="I1329" s="1">
        <f t="shared" ref="I1329" si="1403">SUM(I1330:I1331)</f>
        <v>2.2879861505947143E-4</v>
      </c>
      <c r="J1329" s="1">
        <f t="shared" ref="J1329" si="1404">SUM(J1330:J1331)</f>
        <v>0.11249658878493385</v>
      </c>
      <c r="K1329" s="1">
        <f t="shared" ref="K1329:L1329" si="1405">SUM(K1330:K1331)</f>
        <v>7.6725795183490167E-2</v>
      </c>
      <c r="L1329" s="1">
        <f t="shared" si="1405"/>
        <v>0.33423028588411685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1.8192195186381478E-2</v>
      </c>
      <c r="G1330" s="1">
        <f>[1]Transport!C$26/SUM([1]Transport!C$22,[1]Transport!C$26)*G1327*(G$34+G$582)/(G$34+G$582+G$38)</f>
        <v>3.0441041149310507E-2</v>
      </c>
      <c r="H1330" s="1">
        <f>[1]Transport!D$26/SUM([1]Transport!D$22,[1]Transport!D$26)*H1327*(H$34+H$582)/(H$34+H$582+H$38)</f>
        <v>9.0280936439114792E-2</v>
      </c>
      <c r="I1330" s="1">
        <f>[1]Transport!E$26/SUM([1]Transport!E$22,[1]Transport!E$26)*I1327*(I$34+I$582)/(I$34+I$582+I$38)</f>
        <v>2.2879861505947143E-4</v>
      </c>
      <c r="J1330" s="1">
        <f>[2]Transport!F$26/SUM([2]Transport!F$22,[2]Transport!F$26)*J1327*(J$34+J$582)/(J$34+J$582+J$38)</f>
        <v>0.11249658878493385</v>
      </c>
      <c r="K1330" s="1">
        <f>[2]Transport!G$26/SUM([2]Transport!G$22,[2]Transport!G$26)*K1327*(K$34+K$582)/(K$34+K$582+K$38)</f>
        <v>7.664968941158283E-2</v>
      </c>
      <c r="L1330" s="1">
        <f>[2]Transport!H$26/SUM([2]Transport!H$22,[2]Transport!H$26)*L1327*(L$34+L$582)/(L$34+L$582+L$38)</f>
        <v>0.11947567975297031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7.6105771907331339E-5</v>
      </c>
      <c r="L1331" s="1">
        <f>(L$38+L$718)/([2]Transport!H$22+[2]Transport!H$26)*L1327</f>
        <v>0.21475460613114652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4.2367945554122557E-2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5.0839923821335009E-2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1.0684298667244189E-4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3.2663571091209725E-5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3.4214531948468586E-5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2.0575183604103196E-5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2.8313002971595458E-3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6.1706592954065016E-3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1.9302365924091347E-4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2.9681941463247055E-5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3.2308473942976271E-5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2.1016114676391694E-5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5.2518818332171081E-3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8.9233025831578581E-3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5.0925688129633997E-4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4.8341698569624229E-5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1.5597166996002137E-5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4.1356681919079894E-5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4.4476549577757423E-4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9.0773491903551413E-4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4.1127198295730155E-4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6.5832381577447666E-6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3.1502989845289811E-5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1.7323535843650411E-2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1.7309620658331071E-2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1.7205303809380557E-2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8.0300332306343218E-4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0.1117262963017483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0.2598213870236698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1.3768028025773447E-4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8.1666736851277455E-3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0.47946068474872944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0.28141486054019427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0.10205634371657067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0.11199998618001675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0.16278872147502296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9.190708875387811E-4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5.0518696104689141E-2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8.4067661649414246E-4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3.8068596101892526E-4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0.617997995815463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0.87174173094889229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1.5070067580689368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1.2338394954341072E-3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1.2456659684641758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4.3314182217066185E-4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1.393976414562018E-4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1.5441850986192118E-2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3.9350942483893777E-3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6.696361144963723E-3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1.0356759181707432E-3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1.1541243108921901E-4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4.5184544854975183E-5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4.2208629622231603E-5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3.1958796353785218E-4</v>
      </c>
      <c r="G1341" s="1">
        <f t="shared" ref="G1341:K1341" si="1406">SUM(G1346:G1350)</f>
        <v>6.8163710929064966E-3</v>
      </c>
      <c r="H1341" s="1">
        <f t="shared" si="1406"/>
        <v>2.4909037043737349E-2</v>
      </c>
      <c r="I1341" s="1">
        <f t="shared" si="1406"/>
        <v>3.3424146328196775E-3</v>
      </c>
      <c r="J1341" s="1">
        <f t="shared" si="1406"/>
        <v>7.3208101156867766E-3</v>
      </c>
      <c r="K1341" s="1">
        <f t="shared" si="1406"/>
        <v>1.3331273448200249E-3</v>
      </c>
      <c r="L1341" s="1">
        <f t="shared" ref="L1341" si="1407">SUM(L1346:L1350)</f>
        <v>4.6779724058805875E-4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2.9386180202665757E-4</v>
      </c>
      <c r="G1342" s="1">
        <f t="shared" ref="G1342:L1342" si="1408">IF(G1341-G1343&lt;0,0,G1341-G1343)</f>
        <v>6.1515998544094466E-3</v>
      </c>
      <c r="H1342" s="1">
        <f t="shared" si="1408"/>
        <v>2.2579084705890762E-2</v>
      </c>
      <c r="I1342" s="1">
        <f t="shared" si="1408"/>
        <v>2.7831706007222265E-3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2.572616151119462E-5</v>
      </c>
      <c r="G1343" s="1">
        <f t="shared" ref="G1343" si="1409">SUM(G1344:G1345)</f>
        <v>6.6477123849704989E-4</v>
      </c>
      <c r="H1343" s="1">
        <f t="shared" ref="H1343" si="1410">SUM(H1344:H1345)</f>
        <v>2.3299523378465885E-3</v>
      </c>
      <c r="I1343" s="1">
        <f t="shared" ref="I1343" si="1411">SUM(I1344:I1345)</f>
        <v>5.5924403209745108E-4</v>
      </c>
      <c r="J1343" s="1">
        <f t="shared" ref="J1343" si="1412">SUM(J1344:J1345)</f>
        <v>6.9897693623255819E-2</v>
      </c>
      <c r="K1343" s="1">
        <f t="shared" ref="K1343:L1343" si="1413">SUM(K1344:K1345)</f>
        <v>0.55309483263854486</v>
      </c>
      <c r="L1343" s="1">
        <f t="shared" si="1413"/>
        <v>3.1002288444234924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2.572616151119462E-5</v>
      </c>
      <c r="G1344" s="1">
        <f>[1]Transport!C$27/SUM([1]Transport!C$24,[1]Transport!C$27)*G1341*(G$47+G$614)/(G$47+G$614+G$49)</f>
        <v>6.6477123849704989E-4</v>
      </c>
      <c r="H1344" s="1">
        <f>[1]Transport!D$27/SUM([1]Transport!D$24,[1]Transport!D$27)*H1341*(H$47+H$614)/(H$47+H$614+H$49)</f>
        <v>2.3299523378465885E-3</v>
      </c>
      <c r="I1344" s="1">
        <f>[1]Transport!E$27/SUM([1]Transport!E$24,[1]Transport!E$27)*I1341*(I$47+I$614)/(I$47+I$614+I$49)</f>
        <v>5.5924403209745108E-4</v>
      </c>
      <c r="J1344" s="1">
        <f>[2]Transport!F$27/SUM([2]Transport!F$24,[2]Transport!F$27)*J1341*(J$47+J$614)/(J$47+J$614+J$49)</f>
        <v>1.4600237818093269E-3</v>
      </c>
      <c r="K1344" s="1">
        <f>[2]Transport!G$27/SUM([2]Transport!G$24,[2]Transport!G$27)*K1341*(K$47+K$614)/(K$47+K$614+K$49)</f>
        <v>4.4622134435165744E-4</v>
      </c>
      <c r="L1344" s="1">
        <f>[2]Transport!H$27/SUM([2]Transport!H$24,[2]Transport!H$27)*L1341*(L$47+L$614)/(L$47+L$614+L$49)</f>
        <v>2.3406038733586587E-4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6.8437669841446488E-2</v>
      </c>
      <c r="K1345" s="1">
        <f>(K$49+K$716)/([2]Transport!G$24+[2]Transport!G$27)*K1341</f>
        <v>0.55264861129419318</v>
      </c>
      <c r="L1345" s="1">
        <f>(L$49+L$716)/([2]Transport!H$24+[2]Transport!H$27)*L1341</f>
        <v>3.0999947840361566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3.1958796353785218E-4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3.2660113027697339E-4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3.2884410245894943E-4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2.3781197463432296E-3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5.0984103155730749E-3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5.282311773662521E-4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3.5873904507916546E-3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4.8623179541431422E-4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1.8018341444106891E-4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1.4647888631091652E-3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5.2084729214573371E-3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6.3755287099338679E-4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1.4230664410173819E-3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3.8690152336257001E-4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1.458107471033643E-4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2.1356870167187924E-3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1.2813199461561493E-2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1.1735769637990902E-3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2.2110752643700608E-3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3.91170496009959E-4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9.8175205017242347E-5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5.1117433645833687E-4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1.460110242686498E-3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1.0030536206609487E-3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9.9277959507679587E-5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6.8823530033181667E-5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4.362787402638313E-5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0.2968795183905088</v>
      </c>
      <c r="G1351" s="3">
        <f t="shared" ref="G1351:K1351" si="1414">SUM(G1352:G1374)</f>
        <v>0.30219222541584206</v>
      </c>
      <c r="H1351" s="3">
        <f t="shared" si="1414"/>
        <v>0.31021463884339934</v>
      </c>
      <c r="I1351" s="3">
        <f t="shared" si="1414"/>
        <v>0.32357821960057503</v>
      </c>
      <c r="J1351" s="3">
        <f t="shared" si="1414"/>
        <v>0.38334092128735098</v>
      </c>
      <c r="K1351" s="3">
        <f t="shared" si="1414"/>
        <v>0.40438575256227116</v>
      </c>
      <c r="L1351" s="3">
        <f t="shared" ref="L1351" si="1415">SUM(L1352:L1374)</f>
        <v>0.44440360566567233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2.069699747680074E-3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1.7042181035781467E-3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1.0609188645374344E-3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2.1119754479936794E-5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1.283020964777295E-2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1.8584211028950502E-2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0.1062158456128276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0.12873223102443274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5.9478752316555986E-2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0.10537945373595627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6.6357837340836234E-4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2.4576348014040939E-3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7.3009697464081775E-3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3.9731281503223435E-2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4.2134182275981924E-2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4.9537985888299406E-2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5.4525671470099089E-2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2.0580398733543699E-3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4.0806278617089211E-3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7.6555854267575827E-3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0.17344254537374912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0.12070008120222372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0.21701756972579528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0.23853471801788906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1.8049989694102938E-4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5.4294037456633281E-4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9.4230311089095193E-4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3.5501880638219097E-3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4.060228673504432E-5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2.9002731515672385E-5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3.1126515097044709E-5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2.8263338012571438E-5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2.6777902798632452E-6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3.0529702158840468E-7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5.9049297398680506E-7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1.7651240878267877E-5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2.5111931577452749E-6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1.8261361362408397E-5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2.5543564876101567E-6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4.8486316907495742E-6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1.2420792818835754E-5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9.5109266938040795E-8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6.8853715802157343E-3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8.3313308665358826E-3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1.8410561254178524E-5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6.2868234080782683E-6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7.0019498150964404E-6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4.1847794830290697E-6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3.2982931096350827E-4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7.3770140373026569E-4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2.3993739364750304E-5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4.1376255573927796E-6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4.7387527078376681E-6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3.0756412005881917E-6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4.108853246442473E-4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7.1223003643087286E-4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4.2756586093244895E-5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4.4938710550452604E-6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1.5399393757197775E-6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4.0832276113113029E-6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2.3462020289192208E-5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4.9018131399460307E-5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2.3209544856457946E-5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4.1670216559369792E-7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2.1005174619803913E-6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0.24198694105284999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0.19368767145318413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0.12079792672857369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9.9507503282491807E-5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1.4355094916924624E-2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3.4402343355592377E-2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1.7568474188955871E-5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1.1576038241813767E-3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7.8039593432105231E-2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4.5806765552281664E-2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8.9264446046589084E-3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9.8384883571199025E-3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1.4514006426720464E-2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8.3368882041242053E-5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4.8225531264465401E-3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9.3005700516611008E-5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4.2801352961673654E-5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3.5812692154139132E-2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5.0688547996695775E-2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9.0661543101879502E-2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7.4926495595288692E-5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8.4925632675736037E-2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3.2009195172097699E-5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1.0478595613199237E-5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5.9677320673333335E-4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1.53348900256659E-4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2.6267269298269107E-4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4.2226081591331143E-5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5.4385043551015901E-6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2.2103209633625294E-6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2.1220876996320644E-6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4.4642222229811374E-3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3.653685563001728E-3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2.3066668016693188E-3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2.8593921996517571E-4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6.2856532996014274E-4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6.7452481415699098E-5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5.1606829262808112E-4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7.1987633197888112E-5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2.7148526801039658E-5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1.2450423545269407E-4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4.5760668100620395E-4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5.7425674646853255E-5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1.354172388815214E-4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3.9858490608740567E-5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1.5302801207506709E-5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1.2050001788873909E-4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7.5260424562096924E-4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7.0223354229547531E-5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1.4358067436934409E-4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2.7033261158342507E-5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6.9663224681224863E-6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1.926573020955691E-5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5.6434863752907247E-5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4.0200438603369262E-5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4.4517992682303732E-6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3.1579274621917608E-6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2.0722879094120423E-6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421">IFERROR(G1352/G1317,"-")</f>
        <v>3.3737507326839338</v>
      </c>
      <c r="H1376" s="1">
        <f t="shared" si="1421"/>
        <v>2.1484705100107919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0.37869321701871772</v>
      </c>
      <c r="G1377" s="1">
        <f t="shared" si="1423"/>
        <v>0.39241462945557604</v>
      </c>
      <c r="H1377" s="1">
        <f t="shared" si="1423"/>
        <v>0.39862319026309284</v>
      </c>
      <c r="I1377" s="1">
        <f t="shared" si="1423"/>
        <v>0.4462756434205043</v>
      </c>
      <c r="J1377" s="1">
        <f t="shared" si="1423"/>
        <v>0.47088029345452959</v>
      </c>
      <c r="K1377" s="1">
        <f t="shared" si="1423"/>
        <v>0.47156990480657107</v>
      </c>
      <c r="L1377" s="1">
        <f t="shared" ref="L1377" si="1424">IFERROR(L1353/L1318,"-")</f>
        <v>0.53286605404042597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0.27518070496490715</v>
      </c>
      <c r="G1378" s="1">
        <f t="shared" si="1425"/>
        <v>0.28247901110709805</v>
      </c>
      <c r="H1378" s="1">
        <f t="shared" si="1425"/>
        <v>0.29369103424729631</v>
      </c>
      <c r="I1378" s="1">
        <f t="shared" si="1425"/>
        <v>0.31970356226297869</v>
      </c>
      <c r="J1378" s="1">
        <f t="shared" si="1425"/>
        <v>0.34080879912041939</v>
      </c>
      <c r="K1378" s="1">
        <f t="shared" si="1425"/>
        <v>0.34411175672058036</v>
      </c>
      <c r="L1378" s="1">
        <f t="shared" ref="L1378" si="1426">IFERROR(L1354/L1319,"-")</f>
        <v>0.38205814712046482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0.18297040713439905</v>
      </c>
      <c r="G1379" s="1">
        <f t="shared" si="1427"/>
        <v>0.18575332372886433</v>
      </c>
      <c r="H1379" s="1">
        <f t="shared" si="1427"/>
        <v>0.19186631068312721</v>
      </c>
      <c r="I1379" s="1">
        <f t="shared" si="1427"/>
        <v>0.21537308504891256</v>
      </c>
      <c r="J1379" s="1">
        <f t="shared" si="1427"/>
        <v>0.22748085557928105</v>
      </c>
      <c r="K1379" s="1">
        <f t="shared" si="1427"/>
        <v>0.23255844882337748</v>
      </c>
      <c r="L1379" s="1">
        <f t="shared" ref="L1379" si="1428">IFERROR(L1355/L1320,"-")</f>
        <v>0.25866794794062459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0.12198710645807069</v>
      </c>
      <c r="G1380" s="1">
        <f t="shared" si="1429"/>
        <v>0.12480002843232568</v>
      </c>
      <c r="H1380" s="1">
        <f t="shared" si="1429"/>
        <v>0.1281424520049903</v>
      </c>
      <c r="I1380" s="1">
        <f t="shared" si="1429"/>
        <v>0.14259010842868658</v>
      </c>
      <c r="J1380" s="1">
        <f t="shared" si="1429"/>
        <v>0.15016562569915889</v>
      </c>
      <c r="K1380" s="1">
        <f t="shared" si="1429"/>
        <v>0.15671797506487209</v>
      </c>
      <c r="L1380" s="1">
        <f t="shared" ref="L1380" si="1430">IFERROR(L1356/L1321,"-")</f>
        <v>0.17037637562632058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0.23440176174444091</v>
      </c>
      <c r="J1381" s="1">
        <f t="shared" si="1431"/>
        <v>0.24610885279973649</v>
      </c>
      <c r="K1381" s="1">
        <f t="shared" si="1431"/>
        <v>0.2488026283287158</v>
      </c>
      <c r="L1381" s="1">
        <f t="shared" ref="L1381" si="1432">IFERROR(L1357/L1323,"-")</f>
        <v>0.30344095071385807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>
        <f t="shared" si="1433"/>
        <v>0.1691015145104961</v>
      </c>
      <c r="J1382" s="1">
        <f t="shared" si="1433"/>
        <v>0.17638288516530171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>
        <f t="shared" si="1435"/>
        <v>0.11310839137372303</v>
      </c>
      <c r="J1383" s="1">
        <f t="shared" si="1435"/>
        <v>0.11733897421573228</v>
      </c>
      <c r="K1383" s="1" t="str">
        <f t="shared" si="1435"/>
        <v>-</v>
      </c>
      <c r="L1383" s="1">
        <f t="shared" ref="L1383" si="1436">IFERROR(L1359/L1325,"-")</f>
        <v>0.13924247781936333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>
        <f t="shared" si="1437"/>
        <v>7.5896650184428788E-2</v>
      </c>
      <c r="J1384" s="1" t="str">
        <f t="shared" si="1437"/>
        <v>-</v>
      </c>
      <c r="K1384" s="1" t="str">
        <f t="shared" si="1437"/>
        <v>-</v>
      </c>
      <c r="L1384" s="1">
        <f t="shared" ref="L1384" si="1438">IFERROR(L1360/L1326,"-")</f>
        <v>9.8453735287482663E-2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0.16251369968883853</v>
      </c>
      <c r="H1385" s="1">
        <f t="shared" si="1439"/>
        <v>0.16387378737651911</v>
      </c>
      <c r="I1385" s="1">
        <f t="shared" si="1439"/>
        <v>0.17231417641498015</v>
      </c>
      <c r="J1385" s="1">
        <f t="shared" si="1439"/>
        <v>0.19247201693051103</v>
      </c>
      <c r="K1385" s="1">
        <f t="shared" si="1439"/>
        <v>0.20464841739300316</v>
      </c>
      <c r="L1385" s="1">
        <f t="shared" ref="L1385" si="1440">IFERROR(L1361/L1332,"-")</f>
        <v>0.20338965442789644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0.11649393435744133</v>
      </c>
      <c r="H1386" s="1">
        <f t="shared" si="1441"/>
        <v>0.11954985171186128</v>
      </c>
      <c r="I1386" s="1">
        <f t="shared" si="1441"/>
        <v>0.12430465497912688</v>
      </c>
      <c r="J1386" s="1">
        <f t="shared" si="1441"/>
        <v>0.13939875066851992</v>
      </c>
      <c r="K1386" s="1">
        <f t="shared" si="1441"/>
        <v>0.14667213054387712</v>
      </c>
      <c r="L1386" s="1">
        <f t="shared" ref="L1386" si="1442">IFERROR(L1362/L1333,"-")</f>
        <v>0.14634680329581529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7.8235828164578899E-2</v>
      </c>
      <c r="H1387" s="1">
        <f t="shared" si="1443"/>
        <v>7.9816864865163248E-2</v>
      </c>
      <c r="I1387" s="1">
        <f t="shared" si="1443"/>
        <v>8.3958779279340853E-2</v>
      </c>
      <c r="J1387" s="1">
        <f t="shared" si="1443"/>
        <v>9.2960553476890209E-2</v>
      </c>
      <c r="K1387" s="1">
        <f t="shared" si="1443"/>
        <v>9.8731992554448797E-2</v>
      </c>
      <c r="L1387" s="1">
        <f t="shared" ref="L1387" si="1444">IFERROR(L1363/L1334,"-")</f>
        <v>9.8731992554448783E-2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5.2751439830497751E-2</v>
      </c>
      <c r="H1388" s="1">
        <f t="shared" si="1445"/>
        <v>5.4000491081188123E-2</v>
      </c>
      <c r="I1388" s="1">
        <f t="shared" si="1445"/>
        <v>5.643356663774389E-2</v>
      </c>
      <c r="J1388" s="1">
        <f t="shared" si="1445"/>
        <v>6.3297446577027447E-2</v>
      </c>
      <c r="K1388" s="1" t="str">
        <f t="shared" si="1445"/>
        <v>-</v>
      </c>
      <c r="L1388" s="1">
        <f t="shared" ref="L1388" si="1446">IFERROR(L1364/L1335,"-")</f>
        <v>6.6676765357699896E-2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13.968680714886816</v>
      </c>
      <c r="G1389" s="1">
        <f t="shared" ref="G1389:K1389" si="1447">IFERROR(G1365/G1336,"-")</f>
        <v>11.189596541502647</v>
      </c>
      <c r="H1389" s="1">
        <f t="shared" si="1447"/>
        <v>7.020970281426421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0.12391916748597483</v>
      </c>
      <c r="G1390" s="1">
        <f t="shared" si="1449"/>
        <v>0.12848447851663006</v>
      </c>
      <c r="H1390" s="1">
        <f t="shared" si="1449"/>
        <v>0.13240766570327914</v>
      </c>
      <c r="I1390" s="1">
        <f t="shared" si="1449"/>
        <v>0.12760341681516099</v>
      </c>
      <c r="J1390" s="1">
        <f t="shared" si="1449"/>
        <v>0.14174728522451907</v>
      </c>
      <c r="K1390" s="1">
        <f t="shared" si="1449"/>
        <v>0.16276536515815343</v>
      </c>
      <c r="L1390" s="1">
        <f t="shared" ref="L1390" si="1450">IFERROR(L1366/L1337,"-")</f>
        <v>0.16277308690931452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8.7465847585616971E-2</v>
      </c>
      <c r="G1391" s="1">
        <f t="shared" si="1451"/>
        <v>8.7843656884980081E-2</v>
      </c>
      <c r="H1391" s="1">
        <f t="shared" si="1451"/>
        <v>8.9158550391019442E-2</v>
      </c>
      <c r="I1391" s="1">
        <f t="shared" si="1451"/>
        <v>9.0709958471755225E-2</v>
      </c>
      <c r="J1391" s="1">
        <f t="shared" si="1451"/>
        <v>9.5460760041249579E-2</v>
      </c>
      <c r="K1391" s="1">
        <f t="shared" si="1451"/>
        <v>0.11063195846278072</v>
      </c>
      <c r="L1391" s="1">
        <f t="shared" ref="L1391" si="1452">IFERROR(L1367/L1338,"-")</f>
        <v>0.11243218123177871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5.7949527986548621E-2</v>
      </c>
      <c r="G1392" s="1">
        <f t="shared" si="1453"/>
        <v>5.8146290577968787E-2</v>
      </c>
      <c r="H1392" s="1">
        <f t="shared" si="1453"/>
        <v>6.0160010973044534E-2</v>
      </c>
      <c r="I1392" s="1">
        <f t="shared" si="1453"/>
        <v>6.0726290471782129E-2</v>
      </c>
      <c r="J1392" s="1">
        <f t="shared" si="1453"/>
        <v>6.8176890776299973E-2</v>
      </c>
      <c r="K1392" s="1">
        <f t="shared" si="1453"/>
        <v>7.3900033507929841E-2</v>
      </c>
      <c r="L1392" s="1">
        <f t="shared" ref="L1392" si="1454">IFERROR(L1368/L1339,"-")</f>
        <v>7.517053734723031E-2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3.8646481387947559E-2</v>
      </c>
      <c r="G1393" s="1">
        <f t="shared" si="1455"/>
        <v>3.8969562246043851E-2</v>
      </c>
      <c r="H1393" s="1">
        <f t="shared" si="1455"/>
        <v>3.9226183787928609E-2</v>
      </c>
      <c r="I1393" s="1">
        <f t="shared" si="1455"/>
        <v>4.0771520173909927E-2</v>
      </c>
      <c r="J1393" s="1">
        <f t="shared" si="1455"/>
        <v>4.7122344653648111E-2</v>
      </c>
      <c r="K1393" s="1">
        <f t="shared" si="1455"/>
        <v>4.8917632576731714E-2</v>
      </c>
      <c r="L1393" s="1">
        <f t="shared" ref="L1393" si="1456">IFERROR(L1369/L1340,"-")</f>
        <v>5.0276157236679032E-2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13.968680714886787</v>
      </c>
      <c r="G1394" s="1">
        <f t="shared" ref="G1394:K1394" si="1457">IFERROR(G1370/G1346,"-")</f>
        <v>11.186996076539073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0.12023751974847217</v>
      </c>
      <c r="H1395" s="1">
        <f t="shared" si="1459"/>
        <v>0.12328653267474222</v>
      </c>
      <c r="I1395" s="1">
        <f t="shared" si="1459"/>
        <v>0.12769500231322115</v>
      </c>
      <c r="J1395" s="1">
        <f t="shared" si="1459"/>
        <v>0.1438561817307053</v>
      </c>
      <c r="K1395" s="1">
        <f t="shared" si="1459"/>
        <v>0.14805208930557087</v>
      </c>
      <c r="L1395" s="1">
        <f t="shared" ref="L1395" si="1460">IFERROR(L1371/L1347,"-")</f>
        <v>0.15067161916791683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8.499807623360886E-2</v>
      </c>
      <c r="H1396" s="1">
        <f t="shared" si="1461"/>
        <v>8.7858128074546085E-2</v>
      </c>
      <c r="I1396" s="1">
        <f t="shared" si="1461"/>
        <v>9.0072019528948083E-2</v>
      </c>
      <c r="J1396" s="1">
        <f t="shared" si="1461"/>
        <v>9.5158760672276549E-2</v>
      </c>
      <c r="K1396" s="1">
        <f t="shared" si="1461"/>
        <v>0.10301973034980455</v>
      </c>
      <c r="L1396" s="1">
        <f t="shared" ref="L1396" si="1462">IFERROR(L1372/L1348,"-")</f>
        <v>0.10494974829707615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5.6422133461237138E-2</v>
      </c>
      <c r="H1397" s="1">
        <f t="shared" si="1463"/>
        <v>5.873663700301536E-2</v>
      </c>
      <c r="I1397" s="1">
        <f t="shared" si="1463"/>
        <v>5.983702509141052E-2</v>
      </c>
      <c r="J1397" s="1">
        <f t="shared" si="1463"/>
        <v>6.4937036148450825E-2</v>
      </c>
      <c r="K1397" s="1">
        <f t="shared" si="1463"/>
        <v>6.910864043706981E-2</v>
      </c>
      <c r="L1397" s="1">
        <f t="shared" ref="L1397" si="1464">IFERROR(L1373/L1349,"-")</f>
        <v>7.0958063870597499E-2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3.7689157759834363E-2</v>
      </c>
      <c r="H1398" s="1">
        <f t="shared" si="1465"/>
        <v>3.8651097775378354E-2</v>
      </c>
      <c r="I1398" s="1">
        <f t="shared" si="1465"/>
        <v>4.0078055425272006E-2</v>
      </c>
      <c r="J1398" s="1">
        <f t="shared" si="1465"/>
        <v>4.484176840767972E-2</v>
      </c>
      <c r="K1398" s="1">
        <f t="shared" si="1465"/>
        <v>4.5884415703019585E-2</v>
      </c>
      <c r="L1398" s="1">
        <f t="shared" ref="L1398" si="1466">IFERROR(L1374/L1350,"-")</f>
        <v>4.7499172390542466E-2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0.82268027692000445</v>
      </c>
      <c r="G1399" s="3">
        <f t="shared" ref="G1399" si="1467">G1400+G1406+G1411+G1425</f>
        <v>0.82234705698445332</v>
      </c>
      <c r="H1399" s="3">
        <f t="shared" ref="H1399" si="1468">H1400+H1406+H1411+H1425</f>
        <v>1.0022264330897186</v>
      </c>
      <c r="I1399" s="3">
        <f t="shared" ref="I1399" si="1469">I1400+I1406+I1411+I1425</f>
        <v>0.38450144962116312</v>
      </c>
      <c r="J1399" s="3">
        <f t="shared" ref="J1399" si="1470">J1400+J1406+J1411+J1425</f>
        <v>0.60981381260594336</v>
      </c>
      <c r="K1399" s="3">
        <f t="shared" ref="K1399:L1399" si="1471">K1400+K1406+K1411+K1425</f>
        <v>0.43685901909548147</v>
      </c>
      <c r="L1399" s="3">
        <f t="shared" si="1471"/>
        <v>0.31370673520008197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4.4888221055717379E-3</v>
      </c>
      <c r="G1400" s="1">
        <f t="shared" ref="G1400" si="1472">SUM(G1401:G1405)</f>
        <v>1.4299313280981912E-2</v>
      </c>
      <c r="H1400" s="1">
        <f t="shared" ref="H1400" si="1473">SUM(H1401:H1405)</f>
        <v>2.3410565994649808E-2</v>
      </c>
      <c r="I1400" s="1">
        <f t="shared" ref="I1400" si="1474">SUM(I1401:I1405)</f>
        <v>0.3795744890057503</v>
      </c>
      <c r="J1400" s="1">
        <f t="shared" ref="J1400" si="1475">SUM(J1401:J1405)</f>
        <v>0.25631373346852454</v>
      </c>
      <c r="K1400" s="1">
        <f t="shared" ref="K1400:L1400" si="1476">SUM(K1401:K1405)</f>
        <v>0.3164359600381374</v>
      </c>
      <c r="L1400" s="1">
        <f t="shared" si="1476"/>
        <v>0.31289294986258598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7.7605176806777251E-4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4.8493922540366078E-3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8.9666266559661045E-3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0.14441192451366688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0.1345909305489649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0.11111924982601472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0.1189387932059434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2.2797862956962425E-3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5.4014622191960885E-3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8.1850997088965538E-3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0.17730714657358523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9.302926406520777E-2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0.15281379693934855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0.14747723528636481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1.4329840418077231E-3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2.9856676865509242E-3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4.5414946749020501E-3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5.6761723069708468E-2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2.8465319820465757E-2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5.2204260209631467E-2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4.6374865867197523E-2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1.0627911211982919E-3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1.717344954885097E-3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1.0936948487897124E-3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2.2821903388617153E-4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2.9865306314263442E-4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1.0205550308025481E-4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4.636933561803163E-4</v>
      </c>
      <c r="J1406" s="1">
        <f t="shared" ref="J1406" si="1482">SUM(J1407:J1410)</f>
        <v>2.1823227883032558E-5</v>
      </c>
      <c r="K1406" s="1">
        <f t="shared" ref="K1406:L1406" si="1483">SUM(K1407:K1410)</f>
        <v>7.3576613574601475E-6</v>
      </c>
      <c r="L1406" s="1">
        <f t="shared" si="1483"/>
        <v>1.5926470405190813E-5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6.0446052890327579E-5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3.6647147588807281E-6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1.581681296987736E-7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7.3086601312548054E-7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9.7096484599356865E-5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6.7722051713239371E-6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3.1091965516500835E-6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7.9592234309150535E-6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1.9453410076949448E-4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9.5983987956167809E-6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4.0902966761112907E-6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7.2363809611502786E-6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1.1161671792113741E-4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1.7879091572111108E-6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0.81801294568004024</v>
      </c>
      <c r="G1411" s="1">
        <f t="shared" ref="G1411:K1411" si="1484">SUM(G1416:G1424)</f>
        <v>0.80275635379274379</v>
      </c>
      <c r="H1411" s="1">
        <f t="shared" si="1484"/>
        <v>0.96605931361034414</v>
      </c>
      <c r="I1411" s="1">
        <f t="shared" si="1484"/>
        <v>3.3163465689844372E-3</v>
      </c>
      <c r="J1411" s="1">
        <f t="shared" si="1484"/>
        <v>0.35016656487385611</v>
      </c>
      <c r="K1411" s="1">
        <f t="shared" si="1484"/>
        <v>0.11825926895273348</v>
      </c>
      <c r="L1411" s="1">
        <f t="shared" ref="L1411" si="1485">SUM(L1416:L1424)</f>
        <v>6.368109169047003E-4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0.79826639268127453</v>
      </c>
      <c r="G1412" s="1">
        <f t="shared" ref="G1412:L1412" si="1486">IF(G1411-G1413&lt;0,0,G1411-G1413)</f>
        <v>0.7818274751014298</v>
      </c>
      <c r="H1412" s="1">
        <f t="shared" si="1486"/>
        <v>0.92289040662311728</v>
      </c>
      <c r="I1412" s="1">
        <f t="shared" si="1486"/>
        <v>3.1494602935675784E-3</v>
      </c>
      <c r="J1412" s="1">
        <f t="shared" si="1486"/>
        <v>0.31997108231643956</v>
      </c>
      <c r="K1412" s="1">
        <f t="shared" si="1486"/>
        <v>9.9389946625503212E-2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1.9746552998765734E-2</v>
      </c>
      <c r="G1413" s="1">
        <f t="shared" ref="G1413" si="1487">SUM(G1414:G1415)</f>
        <v>2.0928878691314018E-2</v>
      </c>
      <c r="H1413" s="1">
        <f t="shared" ref="H1413" si="1488">SUM(H1414:H1415)</f>
        <v>4.3168906987226842E-2</v>
      </c>
      <c r="I1413" s="1">
        <f t="shared" ref="I1413" si="1489">SUM(I1414:I1415)</f>
        <v>1.6688627541685877E-4</v>
      </c>
      <c r="J1413" s="1">
        <f t="shared" ref="J1413" si="1490">SUM(J1414:J1415)</f>
        <v>3.0195482557416577E-2</v>
      </c>
      <c r="K1413" s="1">
        <f t="shared" ref="K1413:L1413" si="1491">SUM(K1414:K1415)</f>
        <v>1.8869322327230265E-2</v>
      </c>
      <c r="L1413" s="1">
        <f t="shared" si="1491"/>
        <v>7.5451198117046673E-4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1.9746552998765734E-2</v>
      </c>
      <c r="G1414" s="1">
        <f>[1]Transport!C$26/SUM([1]Transport!C$22,[1]Transport!C$26)*G1411*(G$34+G$582)/(G$34+G$582+G$38)</f>
        <v>2.0928878691314018E-2</v>
      </c>
      <c r="H1414" s="1">
        <f>[1]Transport!D$26/SUM([1]Transport!D$22,[1]Transport!D$26)*H1411*(H$34+H$582)/(H$34+H$582+H$38)</f>
        <v>4.3168906987226842E-2</v>
      </c>
      <c r="I1414" s="1">
        <f>[1]Transport!E$26/SUM([1]Transport!E$22,[1]Transport!E$26)*I1411*(I$34+I$582)/(I$34+I$582+I$38)</f>
        <v>1.6688627541685877E-4</v>
      </c>
      <c r="J1414" s="1">
        <f>[2]Transport!F$26/SUM([2]Transport!F$22,[2]Transport!F$26)*J1411*(J$34+J$582)/(J$34+J$582+J$38)</f>
        <v>3.0195482557416577E-2</v>
      </c>
      <c r="K1414" s="1">
        <f>[2]Transport!G$26/SUM([2]Transport!G$22,[2]Transport!G$26)*K1411*(K$34+K$582)/(K$34+K$582+K$38)</f>
        <v>1.8850605488419436E-2</v>
      </c>
      <c r="L1414" s="1">
        <f>[2]Transport!H$26/SUM([2]Transport!H$22,[2]Transport!H$26)*L1411*(L$34+L$582)/(L$34+L$582+L$38)</f>
        <v>2.6971173959787985E-4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1.8716838810829466E-5</v>
      </c>
      <c r="L1415" s="1">
        <f>(L$38+L$718)/([2]Transport!H$22+[2]Transport!H$26)*L1411</f>
        <v>4.8480024157258688E-4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2.1488596991368427E-2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2.6005405148336505E-2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2.1494905947558231E-4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1.5994739349080256E-5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2.0551644405009514E-5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8.7849924526099119E-6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2.82131259615509E-3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5.1143871218554829E-3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3.6753062828250987E-4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2.2253880472464833E-5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2.854017965644258E-5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2.1088848908225157E-5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1.554714758312847E-3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2.8429938824282531E-3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8.8493424729238132E-4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1.508377107525738E-6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1.7341985128337197E-5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5.4352948088376993E-4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1.0421034288499009E-3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4.4666660716365488E-4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6.0098109688762094E-7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6.0613052443606891E-3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6.026082253665856E-3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5.9218438449897869E-3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0.11222927653968538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0.26770148658456028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0.31671673577258802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2.0867896051354583E-4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1.3320596546921431E-2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7.5906277482870099E-2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2.1019164693978352E-4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0.51624047537678963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0.38032269809317387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0.46166618628515405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3.805831713963647E-4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0.25251369490791098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4.0955298278236109E-2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2.6566637993116624E-4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0.1477322255793154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0.11754207998418099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0.13998389339023989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1.6162391818273295E-4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8.4198326441472668E-2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1.2336872921617553E-3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1.2419531755843152E-4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3.5749662939889071E-2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4.7558530504427307E-3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6.765764735902278E-3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6.5137997667766507E-4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9.4189980621948568E-5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9.6971109178834732E-5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6.8837311144839623E-6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1.785091343924339E-4</v>
      </c>
      <c r="G1425" s="1">
        <f t="shared" ref="G1425" si="1492">SUM(G1430:G1434)</f>
        <v>5.2913899107276223E-3</v>
      </c>
      <c r="H1425" s="1">
        <f t="shared" ref="H1425" si="1493">SUM(H1430:H1434)</f>
        <v>1.2756553484724698E-2</v>
      </c>
      <c r="I1425" s="1">
        <f t="shared" ref="I1425" si="1494">SUM(I1430:I1434)</f>
        <v>1.1469206902480684E-3</v>
      </c>
      <c r="J1425" s="1">
        <f t="shared" ref="J1425" si="1495">SUM(J1430:J1434)</f>
        <v>3.3116910356796826E-3</v>
      </c>
      <c r="K1425" s="1">
        <f t="shared" ref="K1425:L1425" si="1496">SUM(K1430:K1434)</f>
        <v>2.1564324432531232E-3</v>
      </c>
      <c r="L1425" s="1">
        <f t="shared" si="1496"/>
        <v>1.6104795018606345E-4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1.6413952305987389E-4</v>
      </c>
      <c r="G1426" s="1">
        <f t="shared" ref="G1426:L1426" si="1497">IF(G1425-G1427&lt;0,0,G1425-G1427)</f>
        <v>4.775343501812801E-3</v>
      </c>
      <c r="H1426" s="1">
        <f t="shared" si="1497"/>
        <v>1.1563325438116123E-2</v>
      </c>
      <c r="I1426" s="1">
        <f t="shared" si="1497"/>
        <v>9.5502093460068894E-4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1.4369611332560025E-5</v>
      </c>
      <c r="G1427" s="1">
        <f t="shared" ref="G1427" si="1498">SUM(G1428:G1429)</f>
        <v>5.1604640891482164E-4</v>
      </c>
      <c r="H1427" s="1">
        <f t="shared" ref="H1427" si="1499">SUM(H1428:H1429)</f>
        <v>1.1932280466085752E-3</v>
      </c>
      <c r="I1427" s="1">
        <f t="shared" ref="I1427" si="1500">SUM(I1428:I1429)</f>
        <v>1.918997556473794E-4</v>
      </c>
      <c r="J1427" s="1">
        <f t="shared" ref="J1427" si="1501">SUM(J1428:J1429)</f>
        <v>3.1619392079411383E-2</v>
      </c>
      <c r="K1427" s="1">
        <f t="shared" ref="K1427:L1427" si="1502">SUM(K1428:K1429)</f>
        <v>0.89467195008173295</v>
      </c>
      <c r="L1427" s="1">
        <f t="shared" si="1502"/>
        <v>1.0673117692495782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1.4369611332560025E-5</v>
      </c>
      <c r="G1428" s="1">
        <f>[1]Transport!C$27/SUM([1]Transport!C$24,[1]Transport!C$27)*G1425*(G$47+G$614)/(G$47+G$614+G$49)</f>
        <v>5.1604640891482164E-4</v>
      </c>
      <c r="H1428" s="1">
        <f>[1]Transport!D$27/SUM([1]Transport!D$24,[1]Transport!D$27)*H1425*(H$47+H$614)/(H$47+H$614+H$49)</f>
        <v>1.1932280466085752E-3</v>
      </c>
      <c r="I1428" s="1">
        <f>[1]Transport!E$27/SUM([1]Transport!E$24,[1]Transport!E$27)*I1425*(I$47+I$614)/(I$47+I$614+I$49)</f>
        <v>1.918997556473794E-4</v>
      </c>
      <c r="J1428" s="1">
        <f>[2]Transport!F$27/SUM([2]Transport!F$24,[2]Transport!F$27)*J1425*(J$47+J$614)/(J$47+J$614+J$49)</f>
        <v>6.6046620438037456E-4</v>
      </c>
      <c r="K1428" s="1">
        <f>[2]Transport!G$27/SUM([2]Transport!G$24,[2]Transport!G$27)*K1425*(K$47+K$614)/(K$47+K$614+K$49)</f>
        <v>7.2179614916071148E-4</v>
      </c>
      <c r="L1428" s="1">
        <f>[2]Transport!H$27/SUM([2]Transport!H$24,[2]Transport!H$27)*L1425*(L$47+L$614)/(L$47+L$614+L$49)</f>
        <v>8.0579666423024785E-5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3.0958925875031008E-2</v>
      </c>
      <c r="K1429" s="1">
        <f>(K$49+K$716)/([2]Transport!G$24+[2]Transport!G$27)*K1425</f>
        <v>0.89395015393257227</v>
      </c>
      <c r="L1429" s="1">
        <f>(L$49+L$716)/([2]Transport!H$24+[2]Transport!H$27)*L1425</f>
        <v>1.0672311895831552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1.785091343924339E-4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1.6260437376534707E-4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1.5809903440331505E-4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1.9643153649857598E-3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3.9153644627530695E-3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1.993979535633284E-4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8.1997460570112804E-4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6.6219622997240721E-4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3.4997928054937922E-5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1.4400458717739014E-3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3.8819064118847287E-3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2.8301054785252386E-4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1.1819499445770091E-3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6.0056256120767627E-4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6.8751345080776596E-5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1.2505022612150673E-3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3.5483537776947083E-3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2.6810837942590251E-4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1.2599446773489454E-3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7.9924703720904715E-4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5.7298677050348924E-5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4.7392203898754696E-4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1.2528297979888775E-3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3.9640380940631365E-4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4.9821808052600075E-5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9.4426614863993034E-5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0.13227452358157193</v>
      </c>
      <c r="G1435" s="3">
        <f t="shared" ref="G1435" si="1503">SUM(G1436:G1458)</f>
        <v>0.13218648996579313</v>
      </c>
      <c r="H1435" s="3">
        <f t="shared" ref="H1435" si="1504">SUM(H1436:H1458)</f>
        <v>0.13330522305827661</v>
      </c>
      <c r="I1435" s="3">
        <f t="shared" ref="I1435" si="1505">SUM(I1436:I1458)</f>
        <v>0.13467416576955141</v>
      </c>
      <c r="J1435" s="3">
        <f t="shared" ref="J1435" si="1506">SUM(J1436:J1458)</f>
        <v>0.13465438228810112</v>
      </c>
      <c r="K1435" s="3">
        <f t="shared" ref="K1435:L1435" si="1507">SUM(K1436:K1458)</f>
        <v>0.13475830278252157</v>
      </c>
      <c r="L1435" s="3">
        <f t="shared" si="1507"/>
        <v>0.13115673780849921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2.9388554062264894E-4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1.8922742822499346E-3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3.5947591062320981E-3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6.4518332748812454E-2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6.2754373497094187E-2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5.2421372882966402E-2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6.3097787028269389E-2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6.2735320001902596E-4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1.5127908130867719E-3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2.3457188862185613E-3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5.7387157735929409E-2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3.1623692312860531E-2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5.3267123238048379E-2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5.5980975439478796E-2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2.6219367354665565E-4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5.5589078785311886E-4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8.6570836953777112E-4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1.2194006584594366E-2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6.4689638652449932E-3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1.216073960660821E-2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1.1963898550682745E-2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1.3437324189129353E-4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2.2259116902714863E-4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1.5214388766451322E-4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3.4435053544935878E-5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4.7048950352200907E-5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1.7417399800164094E-5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1.4168661287990444E-5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9.2226782946184146E-7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4.2534787950822202E-8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2.2177467786724276E-7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1.6419162599396305E-5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1.2040358919285335E-6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5.3114861531928541E-7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1.666427817259716E-6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2.200343920537126E-5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1.1047304356272262E-6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5.3112143206976429E-7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1.0607800184911591E-6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8.4713349947946357E-6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1.356963158663884E-7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3.4921913981897272E-3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4.2665476513924008E-3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3.7116658101557219E-5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3.111075856095106E-6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4.2058615023089597E-6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1.7978348022360939E-6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3.2866580437831353E-4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6.0898841034704246E-4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4.5340612464173049E-5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3.1021631353881735E-6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4.186048956315449E-6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3.0783345752040011E-6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1.2163439667629872E-4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2.2729354479545004E-4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7.2757052675112625E-5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1.3616594125524149E-7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1.7122087465703503E-6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2.8671962706941855E-5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5.6218296179336661E-5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2.4933549467175264E-5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4.0071475581588999E-8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6.0311500047996E-2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4.8086489161902661E-2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2.9751001412029274E-2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1.3907358516351066E-2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3.3859483548146663E-2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4.0486904777089168E-2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2.708682990950149E-5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1.9243063334878328E-3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1.2314487643729518E-2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3.3305694262577793E-5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4.5153410736832544E-2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3.3402826164720158E-2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4.0584133634577628E-2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3.4684151560703402E-5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2.5777012289495662E-2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4.2235792921353019E-3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2.9404999212596347E-5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8.5610127407236367E-3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6.8416723657528803E-3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8.1600046481137504E-3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9.8795000682937094E-6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5.7432871828643015E-3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8.974726069941741E-5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9.3358287568772146E-6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1.3815986834318176E-3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1.8546059480531357E-4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2.6601025153316318E-4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2.6430536863632956E-5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4.4626442876915927E-6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4.7443309791185155E-6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3.4608754788681596E-7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1.776210442048535E-3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1.2970621791852863E-3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7.9312271801180827E-4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2.3618440748970272E-4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4.8180878759464105E-4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2.5681956875642466E-5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1.1530414468994201E-4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9.7722722034112089E-5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5.208908326566882E-6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1.2240112878893181E-4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3.3960205140559245E-4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2.5594388805992501E-5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1.1360328215939821E-4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6.1483628333994177E-5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7.166917084736056E-6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7.0556005475855426E-5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2.0623028549097061E-4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1.6095691406508236E-5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8.2988855860186906E-5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5.4646289011391376E-5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4.0658031858393996E-6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1.7861722493264039E-5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4.8579058700825942E-5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1.5861286264862542E-5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2.2366911058251206E-6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4.3579421074420163E-6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0.37869321701871822</v>
      </c>
      <c r="G1461" s="1">
        <f t="shared" si="1515"/>
        <v>0.39020854225079765</v>
      </c>
      <c r="H1461" s="1">
        <f t="shared" si="1515"/>
        <v>0.40090429145282425</v>
      </c>
      <c r="I1461" s="1">
        <f t="shared" si="1515"/>
        <v>0.44676596455652495</v>
      </c>
      <c r="J1461" s="1">
        <f t="shared" si="1515"/>
        <v>0.46626004620915978</v>
      </c>
      <c r="K1461" s="1">
        <f t="shared" si="1515"/>
        <v>0.4717578004265266</v>
      </c>
      <c r="L1461" s="1">
        <f t="shared" ref="L1461" si="1516">IFERROR(L1437/L1402,"-")</f>
        <v>0.53050636657305827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0.27518070496490699</v>
      </c>
      <c r="G1462" s="1">
        <f t="shared" si="1517"/>
        <v>0.28007060897519781</v>
      </c>
      <c r="H1462" s="1">
        <f t="shared" si="1517"/>
        <v>0.28658403313877179</v>
      </c>
      <c r="I1462" s="1">
        <f t="shared" si="1517"/>
        <v>0.32365958645729398</v>
      </c>
      <c r="J1462" s="1">
        <f t="shared" si="1517"/>
        <v>0.33993273654937523</v>
      </c>
      <c r="K1462" s="1">
        <f t="shared" si="1517"/>
        <v>0.34857535317436017</v>
      </c>
      <c r="L1462" s="1">
        <f t="shared" ref="L1462" si="1518">IFERROR(L1438/L1403,"-")</f>
        <v>0.37959062177140357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0.18618642334414984</v>
      </c>
      <c r="H1463" s="1">
        <f t="shared" si="1519"/>
        <v>0.19062190567391615</v>
      </c>
      <c r="I1463" s="1">
        <f t="shared" si="1519"/>
        <v>0.21482798486612248</v>
      </c>
      <c r="J1463" s="1">
        <f t="shared" si="1519"/>
        <v>0.22725772645610648</v>
      </c>
      <c r="K1463" s="1">
        <f t="shared" si="1519"/>
        <v>0.23294534886186558</v>
      </c>
      <c r="L1463" s="1">
        <f t="shared" ref="L1463" si="1520">IFERROR(L1439/L1404,"-")</f>
        <v>0.25798238608265617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0.12643429100140424</v>
      </c>
      <c r="H1464" s="1">
        <f t="shared" si="1521"/>
        <v>0.12961354583653906</v>
      </c>
      <c r="I1464" s="1">
        <f t="shared" si="1521"/>
        <v>0.13910999748501726</v>
      </c>
      <c r="J1464" s="1">
        <f t="shared" si="1521"/>
        <v>0.15088598421685984</v>
      </c>
      <c r="K1464" s="1">
        <f t="shared" si="1521"/>
        <v>0.1575371431222545</v>
      </c>
      <c r="L1464" s="1">
        <f t="shared" ref="L1464" si="1522">IFERROR(L1440/L1405,"-")</f>
        <v>0.17066595405901169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>
        <f t="shared" si="1523"/>
        <v>0.234401761744441</v>
      </c>
      <c r="J1465" s="1">
        <f t="shared" si="1523"/>
        <v>0.25166155898679526</v>
      </c>
      <c r="K1465" s="1">
        <f t="shared" si="1523"/>
        <v>0.26892135622914942</v>
      </c>
      <c r="L1465" s="1">
        <f t="shared" ref="L1465" si="1524">IFERROR(L1441/L1407,"-")</f>
        <v>0.3034409507138579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>
        <f t="shared" si="1525"/>
        <v>0.1691015145104961</v>
      </c>
      <c r="J1466" s="1">
        <f t="shared" si="1525"/>
        <v>0.17779081724028004</v>
      </c>
      <c r="K1466" s="1">
        <f t="shared" si="1525"/>
        <v>0.17083146931878565</v>
      </c>
      <c r="L1466" s="1">
        <f t="shared" ref="L1466" si="1526">IFERROR(L1442/L1408,"-")</f>
        <v>0.20937065427602033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>
        <f t="shared" si="1527"/>
        <v>0.11310839137372306</v>
      </c>
      <c r="J1467" s="1">
        <f t="shared" si="1527"/>
        <v>0.11509528403130259</v>
      </c>
      <c r="K1467" s="1">
        <f t="shared" si="1527"/>
        <v>0.12984912198953494</v>
      </c>
      <c r="L1467" s="1">
        <f t="shared" ref="L1467" si="1528">IFERROR(L1443/L1409,"-")</f>
        <v>0.14658985260534707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>
        <f t="shared" si="1529"/>
        <v>7.5896650184428843E-2</v>
      </c>
      <c r="J1468" s="1">
        <f t="shared" si="1529"/>
        <v>7.5896650184428691E-2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0.16406387929954325</v>
      </c>
      <c r="I1469" s="1">
        <f t="shared" si="1531"/>
        <v>0.17267653178902875</v>
      </c>
      <c r="J1469" s="1">
        <f t="shared" si="1531"/>
        <v>0.194506192829832</v>
      </c>
      <c r="K1469" s="1">
        <f t="shared" si="1531"/>
        <v>0.20464841739300291</v>
      </c>
      <c r="L1469" s="1">
        <f t="shared" ref="L1469" si="1532">IFERROR(L1445/L1416,"-")</f>
        <v>0.20464841739300293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0.11649393435744136</v>
      </c>
      <c r="H1470" s="1">
        <f t="shared" si="1533"/>
        <v>0.11907358513097918</v>
      </c>
      <c r="I1470" s="1">
        <f t="shared" si="1533"/>
        <v>0.12336553466591924</v>
      </c>
      <c r="J1470" s="1">
        <f t="shared" si="1533"/>
        <v>0.13939875066852009</v>
      </c>
      <c r="K1470" s="1">
        <f t="shared" si="1533"/>
        <v>0.14667213054387701</v>
      </c>
      <c r="L1470" s="1">
        <f t="shared" ref="L1470" si="1534">IFERROR(L1446/L1417,"-")</f>
        <v>0.14596977713673964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7.8235828164578913E-2</v>
      </c>
      <c r="H1471" s="1">
        <f t="shared" si="1535"/>
        <v>7.9948657716179983E-2</v>
      </c>
      <c r="I1471" s="1">
        <f t="shared" si="1535"/>
        <v>8.221746745334603E-2</v>
      </c>
      <c r="J1471" s="1">
        <f t="shared" si="1535"/>
        <v>9.0273142290392419E-2</v>
      </c>
      <c r="K1471" s="1">
        <f t="shared" si="1535"/>
        <v>9.8731992554448825E-2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5.275143983049773E-2</v>
      </c>
      <c r="H1472" s="1">
        <f t="shared" si="1537"/>
        <v>5.3946944826178143E-2</v>
      </c>
      <c r="I1472" s="1">
        <f t="shared" si="1537"/>
        <v>5.5821386840408736E-2</v>
      </c>
      <c r="J1472" s="1" t="str">
        <f t="shared" si="1537"/>
        <v>-</v>
      </c>
      <c r="K1472" s="1">
        <f t="shared" si="1537"/>
        <v>6.6676765357699883E-2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7.9797266512003109</v>
      </c>
      <c r="H1473" s="1">
        <f t="shared" si="1539"/>
        <v>5.0239422367072875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0.1239191674859749</v>
      </c>
      <c r="G1474" s="1">
        <f t="shared" si="1541"/>
        <v>0.12648223952783799</v>
      </c>
      <c r="H1474" s="1">
        <f t="shared" si="1541"/>
        <v>0.1278331714247016</v>
      </c>
      <c r="I1474" s="1">
        <f t="shared" si="1541"/>
        <v>0.12980144161559221</v>
      </c>
      <c r="J1474" s="1">
        <f t="shared" si="1541"/>
        <v>0.14446097265310284</v>
      </c>
      <c r="K1474" s="1">
        <f t="shared" si="1541"/>
        <v>0.16223279618090283</v>
      </c>
      <c r="L1474" s="1">
        <f t="shared" ref="L1474" si="1542">IFERROR(L1450/L1421,"-")</f>
        <v>0.15845393833428278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8.746584758561661E-2</v>
      </c>
      <c r="G1475" s="1">
        <f t="shared" si="1543"/>
        <v>8.7827590444094189E-2</v>
      </c>
      <c r="H1475" s="1">
        <f t="shared" si="1543"/>
        <v>8.7907962160153341E-2</v>
      </c>
      <c r="I1475" s="1">
        <f t="shared" si="1543"/>
        <v>9.1134222864996339E-2</v>
      </c>
      <c r="J1475" s="1">
        <f t="shared" si="1543"/>
        <v>0.10208164075574697</v>
      </c>
      <c r="K1475" s="1">
        <f t="shared" si="1543"/>
        <v>0.10312656651751789</v>
      </c>
      <c r="L1475" s="1">
        <f t="shared" ref="L1475" si="1544">IFERROR(L1451/L1422,"-")</f>
        <v>0.11068393080153814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5.7949527986548517E-2</v>
      </c>
      <c r="G1476" s="1">
        <f t="shared" si="1545"/>
        <v>5.820615363173464E-2</v>
      </c>
      <c r="H1476" s="1">
        <f t="shared" si="1545"/>
        <v>5.8292453870858622E-2</v>
      </c>
      <c r="I1476" s="1">
        <f t="shared" si="1545"/>
        <v>6.112647298355859E-2</v>
      </c>
      <c r="J1476" s="1">
        <f t="shared" si="1545"/>
        <v>6.8211417323793655E-2</v>
      </c>
      <c r="K1476" s="1">
        <f t="shared" si="1545"/>
        <v>7.2747171239930519E-2</v>
      </c>
      <c r="L1476" s="1">
        <f t="shared" ref="L1476" si="1546">IFERROR(L1452/L1423,"-")</f>
        <v>7.5170537347230393E-2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3.8646481387947448E-2</v>
      </c>
      <c r="G1477" s="1">
        <f t="shared" si="1547"/>
        <v>3.8996283703099009E-2</v>
      </c>
      <c r="H1477" s="1">
        <f t="shared" si="1547"/>
        <v>3.9317100419053848E-2</v>
      </c>
      <c r="I1477" s="1">
        <f t="shared" si="1547"/>
        <v>4.0576219426394937E-2</v>
      </c>
      <c r="J1477" s="1">
        <f t="shared" si="1547"/>
        <v>4.7379182565111255E-2</v>
      </c>
      <c r="K1477" s="1">
        <f t="shared" si="1547"/>
        <v>4.8925200704562327E-2</v>
      </c>
      <c r="L1477" s="1">
        <f t="shared" ref="L1477" si="1548">IFERROR(L1453/L1424,"-")</f>
        <v>5.0276157236679102E-2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9.9502495941956663</v>
      </c>
      <c r="G1478" s="1">
        <f t="shared" ref="G1478:K1478" si="1549">IFERROR(G1454/G1430,"-")</f>
        <v>7.9767976048237497</v>
      </c>
      <c r="H1478" s="1">
        <f t="shared" si="1549"/>
        <v>5.0166196207658675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0.12023751974847223</v>
      </c>
      <c r="H1479" s="1">
        <f t="shared" si="1551"/>
        <v>0.1230559229359352</v>
      </c>
      <c r="I1479" s="1">
        <f t="shared" si="1551"/>
        <v>0.12879749474202065</v>
      </c>
      <c r="J1479" s="1">
        <f t="shared" si="1551"/>
        <v>0.14061916538421329</v>
      </c>
      <c r="K1479" s="1">
        <f t="shared" si="1551"/>
        <v>0.14757366111580558</v>
      </c>
      <c r="L1479" s="1">
        <f t="shared" ref="L1479" si="1552">IFERROR(L1455/L1431,"-")</f>
        <v>0.14883476297197393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8.4998076233608874E-2</v>
      </c>
      <c r="H1480" s="1">
        <f t="shared" si="1553"/>
        <v>8.748331756939759E-2</v>
      </c>
      <c r="I1480" s="1">
        <f t="shared" si="1553"/>
        <v>9.0436165719624262E-2</v>
      </c>
      <c r="J1480" s="1">
        <f t="shared" si="1553"/>
        <v>9.6115138107692066E-2</v>
      </c>
      <c r="K1480" s="1">
        <f t="shared" si="1553"/>
        <v>0.10237672526631736</v>
      </c>
      <c r="L1480" s="1">
        <f t="shared" ref="L1480" si="1554">IFERROR(L1456/L1432,"-")</f>
        <v>0.10424402717234955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5.6422133461237201E-2</v>
      </c>
      <c r="H1481" s="1">
        <f t="shared" si="1555"/>
        <v>5.8119989835104365E-2</v>
      </c>
      <c r="I1481" s="1">
        <f t="shared" si="1555"/>
        <v>6.0034272114037467E-2</v>
      </c>
      <c r="J1481" s="1">
        <f t="shared" si="1555"/>
        <v>6.5867063333926765E-2</v>
      </c>
      <c r="K1481" s="1">
        <f t="shared" si="1555"/>
        <v>6.8372213430049109E-2</v>
      </c>
      <c r="L1481" s="1">
        <f t="shared" ref="L1481" si="1556">IFERROR(L1457/L1433,"-")</f>
        <v>7.0958063870597526E-2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3.7689157759834384E-2</v>
      </c>
      <c r="H1482" s="1">
        <f t="shared" si="1557"/>
        <v>3.8775465573063599E-2</v>
      </c>
      <c r="I1482" s="1">
        <f t="shared" si="1557"/>
        <v>4.0012951158611934E-2</v>
      </c>
      <c r="J1482" s="1">
        <f t="shared" si="1557"/>
        <v>4.4893816448084392E-2</v>
      </c>
      <c r="K1482" s="1">
        <f t="shared" si="1557"/>
        <v>4.6151629111336454E-2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0.52290182563255883</v>
      </c>
      <c r="K1483" s="3">
        <f t="shared" si="1559"/>
        <v>0.54385649646586365</v>
      </c>
      <c r="L1483" s="3">
        <f t="shared" si="1559"/>
        <v>0.57730232227042932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0.52290182563255883</v>
      </c>
      <c r="K1484" s="1">
        <f t="shared" si="1560"/>
        <v>0.54385649646586365</v>
      </c>
      <c r="L1484" s="1">
        <f t="shared" si="1560"/>
        <v>0.57730232227042932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0.52290182563255883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0.54385649646586365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0.57730232227042932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3.5430339576353206E-2</v>
      </c>
      <c r="K1486" s="3">
        <f t="shared" si="1564"/>
        <v>3.6850168437031892E-2</v>
      </c>
      <c r="L1486" s="3">
        <f t="shared" si="1564"/>
        <v>3.9116362409932708E-2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3.5430339576353206E-2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3.6850168437031892E-2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3.9116362409932708E-2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6.7757154095786143E-2</v>
      </c>
      <c r="L1489" s="1">
        <f t="shared" ref="L1489" si="1566">L1487/L1485</f>
        <v>6.7757154095786198E-2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0.8603290311106252</v>
      </c>
      <c r="K1490" s="3">
        <f t="shared" ref="K1490:L1491" si="1571">K1491</f>
        <v>0.89027685529823286</v>
      </c>
      <c r="L1490" s="3">
        <f t="shared" si="1571"/>
        <v>0.94502667425538378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0.8603290311106252</v>
      </c>
      <c r="K1491" s="1">
        <f t="shared" si="1571"/>
        <v>0.89027685529823286</v>
      </c>
      <c r="L1491" s="1">
        <f t="shared" si="1571"/>
        <v>0.94502667425538378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0.8603290311106252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0.89027685529823286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0.94502667425538378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4.3445409072599625E-2</v>
      </c>
      <c r="K1493" s="3">
        <f t="shared" ref="K1493:L1493" si="1579">K1494</f>
        <v>4.4957732178778305E-2</v>
      </c>
      <c r="L1493" s="3">
        <f t="shared" si="1579"/>
        <v>4.7722521224863965E-2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4.3445409072599625E-2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4.4957732178778305E-2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4.7722521224863965E-2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5.0498597050147906E-2</v>
      </c>
      <c r="K1496" s="1">
        <f t="shared" si="1580"/>
        <v>5.0498597050147913E-2</v>
      </c>
      <c r="L1496" s="1">
        <f t="shared" ref="L1496" si="1581">L1494/L1492</f>
        <v>5.0498597050147857E-2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1.7673096766409415</v>
      </c>
      <c r="G1497" s="3">
        <f t="shared" ref="G1497:K1497" si="1582">SUM(G1498,G1503,G1508)</f>
        <v>1.6886099270329187</v>
      </c>
      <c r="H1497" s="3">
        <f t="shared" si="1582"/>
        <v>1.3990620804633467</v>
      </c>
      <c r="I1497" s="3">
        <f t="shared" si="1582"/>
        <v>1.1210940411965351</v>
      </c>
      <c r="J1497" s="3">
        <f t="shared" si="1582"/>
        <v>0.66178848116364364</v>
      </c>
      <c r="K1497" s="3">
        <f t="shared" si="1582"/>
        <v>0.26393213513275471</v>
      </c>
      <c r="L1497" s="3">
        <f t="shared" ref="L1497" si="1583">SUM(L1498,L1503,L1508)</f>
        <v>0.18782003821718396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5.35312399629242E-2</v>
      </c>
      <c r="G1498" s="1">
        <f t="shared" ref="G1498:K1498" si="1585">SUM(G1499:G1502)</f>
        <v>5.5895357853282229E-2</v>
      </c>
      <c r="H1498" s="1">
        <f t="shared" si="1585"/>
        <v>6.0218546165222778E-2</v>
      </c>
      <c r="I1498" s="1">
        <f t="shared" si="1585"/>
        <v>5.256352543267185E-2</v>
      </c>
      <c r="J1498" s="1">
        <f t="shared" si="1585"/>
        <v>0.10717885179566718</v>
      </c>
      <c r="K1498" s="1">
        <f t="shared" si="1585"/>
        <v>0.17000923308314589</v>
      </c>
      <c r="L1498" s="1">
        <f t="shared" ref="L1498" si="1586">SUM(L1499:L1502)</f>
        <v>0.17824095290883527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4.8698984808933032E-2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4.942822424041516E-2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5.1202594923683543E-2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4.1471066085482983E-2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0.10555918073122797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0.16848413519073016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0.17732155112874151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2.1272035600823098E-3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2.6067321460687982E-3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3.6240512421855504E-3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4.4720984879947192E-3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5.3794784086142909E-4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4.6204961064366846E-4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2.9947110342966007E-4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1.2194836883613141E-3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1.7422849811827615E-3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2.4387752232390967E-3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3.0676981399679732E-3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5.1874568257989412E-4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4.3329817396622617E-4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2.3692543754934983E-4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1.4855679055475442E-3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2.1181164856155111E-3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2.953124776114585E-3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3.5526627192261728E-3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5.629775409978845E-4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6.2975010780583381E-4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3.8300523911476007E-4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2.3064511871819589E-3</v>
      </c>
      <c r="J1503" s="1">
        <f t="shared" si="1590"/>
        <v>6.2261403072227559E-4</v>
      </c>
      <c r="K1503" s="1">
        <f t="shared" si="1590"/>
        <v>7.6411079639376943E-4</v>
      </c>
      <c r="L1503" s="1">
        <f t="shared" ref="L1503" si="1591">SUM(L1504:L1507)</f>
        <v>6.6653203497054703E-4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8.1219045891896594E-4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2.5545831680987393E-4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2.8394298048238259E-4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2.1996713253133059E-4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6.2803617800122693E-4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1.7468461923930134E-4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2.105566556258194E-4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1.5534099490470096E-4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5.4587298937679737E-4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1.2285851597840727E-4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1.6898431060807871E-4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1.6815075765458224E-4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3.2035156088496865E-4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6.9612578694693114E-5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1.0062684967748883E-4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1.2307314987993327E-4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1.7137784366780173</v>
      </c>
      <c r="G1508" s="1">
        <f t="shared" ref="G1508:K1508" si="1595">SUM(G1513:G1517)</f>
        <v>1.6327145691796365</v>
      </c>
      <c r="H1508" s="1">
        <f t="shared" si="1595"/>
        <v>1.338843534298124</v>
      </c>
      <c r="I1508" s="1">
        <f t="shared" si="1595"/>
        <v>1.0662240645766814</v>
      </c>
      <c r="J1508" s="1">
        <f t="shared" si="1595"/>
        <v>0.55398701533725414</v>
      </c>
      <c r="K1508" s="1">
        <f t="shared" si="1595"/>
        <v>9.3158791253215065E-2</v>
      </c>
      <c r="L1508" s="1">
        <f t="shared" ref="L1508" si="1596">SUM(L1513:L1517)</f>
        <v>8.9125532733781571E-3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1.6199651902299987</v>
      </c>
      <c r="G1509" s="1">
        <f t="shared" ref="G1509:L1509" si="1597">IF(G1508-G1510&lt;0,0,G1508-G1510)</f>
        <v>1.5433232945930579</v>
      </c>
      <c r="H1509" s="1">
        <f t="shared" si="1597"/>
        <v>1.2655373927250293</v>
      </c>
      <c r="I1509" s="1">
        <f t="shared" si="1597"/>
        <v>0.9728961373625129</v>
      </c>
      <c r="J1509" s="1">
        <f t="shared" si="1597"/>
        <v>0.50654052949376704</v>
      </c>
      <c r="K1509" s="1">
        <f t="shared" si="1597"/>
        <v>4.032223023975462E-2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9.3813246448018542E-2</v>
      </c>
      <c r="G1510" s="1">
        <f t="shared" ref="G1510" si="1600">SUM(G1511:G1512)</f>
        <v>8.9391274586578695E-2</v>
      </c>
      <c r="H1510" s="1">
        <f t="shared" ref="H1510" si="1601">SUM(H1511:H1512)</f>
        <v>7.3306141573094702E-2</v>
      </c>
      <c r="I1510" s="1">
        <f t="shared" ref="I1510" si="1602">SUM(I1511:I1512)</f>
        <v>9.3327927214168493E-2</v>
      </c>
      <c r="J1510" s="1">
        <f t="shared" ref="J1510" si="1603">SUM(J1511:J1512)</f>
        <v>4.7446485843487041E-2</v>
      </c>
      <c r="K1510" s="1">
        <f t="shared" ref="K1510:L1510" si="1604">SUM(K1511:K1512)</f>
        <v>5.2836561013460445E-2</v>
      </c>
      <c r="L1510" s="1">
        <f t="shared" si="1604"/>
        <v>9.0338040163472477E-3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9.3813246448018542E-2</v>
      </c>
      <c r="G1511" s="1">
        <f>[1]Transport!C$25/SUM([1]Transport!C$21,[1]Transport!C$25)*G1508*(G$35+G$600)/(G$35+G$600+G$39)</f>
        <v>8.9391274586578695E-2</v>
      </c>
      <c r="H1511" s="1">
        <f>[1]Transport!D$25/SUM([1]Transport!D$21,[1]Transport!D$25)*H1508*(H$35+H$600)/(H$35+H$600+H$39)</f>
        <v>7.3306141573094702E-2</v>
      </c>
      <c r="I1511" s="1">
        <f>[1]Transport!E$25/SUM([1]Transport!E$21,[1]Transport!E$25)*I1508*(I$35+I$600)/(I$35+I$600+I$39)</f>
        <v>9.3327927214168493E-2</v>
      </c>
      <c r="J1511" s="1">
        <f>[2]Transport!F$25/SUM([2]Transport!F$21,[2]Transport!F$25)*J1508*(J$35+J$600)/(J$35+J$600+J$39)</f>
        <v>4.7446485843487041E-2</v>
      </c>
      <c r="K1511" s="1">
        <f>[2]Transport!G$25/SUM([2]Transport!G$21,[2]Transport!G$25)*K1508*(K$35+K$600)/(K$35+K$600+K$39)</f>
        <v>4.2406933179760527E-2</v>
      </c>
      <c r="L1511" s="1">
        <f>[2]Transport!H$25/SUM([2]Transport!H$21,[2]Transport!H$25)*L1508*(L$35+L$600)/(L$35+L$600+L$39)</f>
        <v>7.8545127625899859E-4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1.0429627833699917E-2</v>
      </c>
      <c r="L1512" s="1">
        <f>(L$39+L$719)/([2]Transport!H$21+[2]Transport!H$25)*L1508</f>
        <v>8.2483527400882498E-3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1.5034577526940216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1.3993528568502263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0.95100728170549897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0.45032624190783321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4.4268769470676712E-2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5.1343415091344866E-2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0.20711825554375268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0.46138850621444927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0.39664566525381068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8.5104347575107264E-2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7.3910596893652959E-3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6.145590524945109E-2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0.11143230966824884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0.1061019899704676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8.3190461529502047E-2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1.0778296799627796E-2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7.2354136342166198E-4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4.0287435826573051E-4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6.3070391163161738E-2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3.7843630132540322E-2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3.9871303983414819E-2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3.8310739962242629E-2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0.13221673674540491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3.0018805191943929E-3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4.1617334055902785E-4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4.1525618100706159E-2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3.2742357437276597E-2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3.4744703094989879E-2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3.3008114962654225E-2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1.4346316538410786E-2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4.3290217954917451E-3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7.0244588518810261E-4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1.9501694875254265</v>
      </c>
      <c r="G1518" s="3">
        <f t="shared" ref="G1518:K1518" si="1607">SUM(G1519:G1531)</f>
        <v>1.9527583401184743</v>
      </c>
      <c r="H1518" s="3">
        <f t="shared" si="1607"/>
        <v>1.9565750272708715</v>
      </c>
      <c r="I1518" s="3">
        <f t="shared" si="1607"/>
        <v>1.9627660231508688</v>
      </c>
      <c r="J1518" s="3">
        <f t="shared" si="1607"/>
        <v>2.1351079142033149</v>
      </c>
      <c r="K1518" s="3">
        <f t="shared" si="1607"/>
        <v>2.1389276970643776</v>
      </c>
      <c r="L1518" s="3">
        <f t="shared" ref="L1518" si="1608">SUM(L1519:L1531)</f>
        <v>2.1205787320028695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0.54050647797387796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0.54862858828878802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0.56858514821931994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0.46160471045413137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1.2155419054368892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1.9514655186089223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2.097503836595493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1.3368462598261462E-2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1.6397320649146396E-2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2.2879655784238711E-2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2.836386352908386E-2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3.4767049428078805E-3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3.0202804581134545E-3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1.9863529925406359E-3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4.987863005171427E-3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7.1392395998651579E-3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1.0034723067299257E-2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1.269072375890113E-2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2.1577383125915839E-3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1.8239002390224759E-3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1.0259905005738585E-3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5.5932426169554321E-3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7.9911174030597512E-3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1.1192345703748951E-2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1.3532204363093027E-2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2.1594246342793804E-3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2.4305099135491638E-3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1.5158901551483343E-3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3.767847335601301E-3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1.1966395219103667E-3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1.3461391155361985E-3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1.0708080158775613E-3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1.6962546551154071E-3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4.7586729985843088E-4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5.7877000542797127E-4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4.3644556568439656E-4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9.6109047913661802E-4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2.1812812237471534E-4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3.02131706677608E-4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3.0637674986471787E-4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5.0040232972396877E-4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1.0982362179526736E-4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1.601250088727339E-4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1.9895110100715956E-4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1.1594141562392106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1.1016242060617709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0.77159801471995959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0.38346685797662039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8.445966074435253E-2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9.803757735508474E-2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0.40227520123712857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0.91358307970479191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0.79145622361860146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0.17178229321243368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1.5219250976247607E-2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6.7771297503233088E-2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0.12313483993233861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0.11731802480201163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9.2133834685650076E-2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1.1989243783383886E-2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8.5362220107916824E-4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4.8964260536684637E-4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4.600524498108579E-2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2.7645619962151022E-2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2.9157475847169538E-2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2.8074850558285722E-2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9.6609582283045684E-2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2.2195788151161077E-3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3.3054994267441067E-4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2.8063081863278171E-2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2.215983086626961E-2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2.3534437889995648E-2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2.2390303320734085E-2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9.7166326257769678E-3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2.9448277796265067E-3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4.9463680239151999E-4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11.098927012431908</v>
      </c>
      <c r="G1533" s="1">
        <f t="shared" si="1612"/>
        <v>11.099500269730507</v>
      </c>
      <c r="H1533" s="1">
        <f t="shared" si="1612"/>
        <v>11.104615870871093</v>
      </c>
      <c r="I1533" s="1">
        <f t="shared" si="1612"/>
        <v>11.130765471585427</v>
      </c>
      <c r="J1533" s="1">
        <f t="shared" si="1612"/>
        <v>11.515264679174333</v>
      </c>
      <c r="K1533" s="1">
        <f t="shared" si="1612"/>
        <v>11.582488264546644</v>
      </c>
      <c r="L1533" s="1">
        <f t="shared" ref="L1533" si="1613">IFERROR(L1519/L1499,"-")</f>
        <v>11.828815072075663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6.284524362935997</v>
      </c>
      <c r="G1534" s="1">
        <f t="shared" si="1612"/>
        <v>6.2903742042983311</v>
      </c>
      <c r="H1534" s="1">
        <f t="shared" si="1612"/>
        <v>6.3132815336354673</v>
      </c>
      <c r="I1534" s="1">
        <f t="shared" si="1612"/>
        <v>6.3424058314516607</v>
      </c>
      <c r="J1534" s="1">
        <f t="shared" si="1612"/>
        <v>6.4629034243181414</v>
      </c>
      <c r="K1534" s="1">
        <f t="shared" si="1612"/>
        <v>6.5367016626331225</v>
      </c>
      <c r="L1534" s="1">
        <f t="shared" ref="L1534" si="1614">IFERROR(L1520/L1500,"-")</f>
        <v>6.6328703163415286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4.0976302252336687</v>
      </c>
      <c r="H1535" s="1">
        <f t="shared" si="1612"/>
        <v>4.1146568046445404</v>
      </c>
      <c r="I1535" s="1">
        <f t="shared" si="1612"/>
        <v>4.1368880443476819</v>
      </c>
      <c r="J1535" s="1">
        <f t="shared" si="1612"/>
        <v>4.1595301610230981</v>
      </c>
      <c r="K1535" s="1">
        <f t="shared" si="1612"/>
        <v>4.2093420849833576</v>
      </c>
      <c r="L1535" s="1">
        <f t="shared" ref="L1535" si="1615">IFERROR(L1521/L1501,"-")</f>
        <v>4.3304362384480228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3.7650534829600395</v>
      </c>
      <c r="G1536" s="1">
        <f t="shared" si="1612"/>
        <v>3.7727468991100288</v>
      </c>
      <c r="H1536" s="1">
        <f t="shared" si="1612"/>
        <v>3.7900009489184798</v>
      </c>
      <c r="I1536" s="1">
        <f t="shared" si="1612"/>
        <v>3.8090315441035054</v>
      </c>
      <c r="J1536" s="1">
        <f t="shared" si="1612"/>
        <v>3.8357207473175112</v>
      </c>
      <c r="K1536" s="1">
        <f t="shared" si="1612"/>
        <v>3.8594831242149543</v>
      </c>
      <c r="L1536" s="1">
        <f t="shared" ref="L1536" si="1616">IFERROR(L1522/L1502,"-")</f>
        <v>3.9578836014149856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4.6391179485367822</v>
      </c>
      <c r="J1537" s="1">
        <f t="shared" si="1617"/>
        <v>4.6842848447990493</v>
      </c>
      <c r="K1537" s="1">
        <f t="shared" si="1617"/>
        <v>4.7408783032751201</v>
      </c>
      <c r="L1537" s="1">
        <f t="shared" ref="L1537" si="1618">IFERROR(L1523/L1504,"-")</f>
        <v>4.8680364359663733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2.7008868509993595</v>
      </c>
      <c r="J1538" s="1">
        <f t="shared" si="1617"/>
        <v>2.7241511126204987</v>
      </c>
      <c r="K1538" s="1">
        <f t="shared" si="1617"/>
        <v>2.7487613901718899</v>
      </c>
      <c r="L1538" s="1">
        <f t="shared" ref="L1538" si="1619">IFERROR(L1524/L1505,"-")</f>
        <v>2.8095968224752808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</v>
      </c>
      <c r="J1539" s="1">
        <f t="shared" si="1617"/>
        <v>1.775441617844806</v>
      </c>
      <c r="K1539" s="1">
        <f t="shared" si="1617"/>
        <v>1.7879275631590135</v>
      </c>
      <c r="L1539" s="1">
        <f t="shared" ref="L1539" si="1620">IFERROR(L1525/L1506,"-")</f>
        <v>1.8220360950979566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1.5620411785777204</v>
      </c>
      <c r="J1540" s="1">
        <f t="shared" si="1617"/>
        <v>1.5776404761118226</v>
      </c>
      <c r="K1540" s="1">
        <f t="shared" si="1617"/>
        <v>1.5912751853599505</v>
      </c>
      <c r="L1540" s="1">
        <f t="shared" ref="L1540" si="1621">IFERROR(L1526/L1507,"-")</f>
        <v>1.61652725392379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0.7711651053457772</v>
      </c>
      <c r="G1541" s="1">
        <f t="shared" si="1622"/>
        <v>0.78723832996732046</v>
      </c>
      <c r="H1541" s="1">
        <f t="shared" si="1622"/>
        <v>0.81134816689963307</v>
      </c>
      <c r="I1541" s="1">
        <f t="shared" si="1622"/>
        <v>0.85153122845348928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1.907883633411088</v>
      </c>
      <c r="G1542" s="1">
        <f t="shared" si="1622"/>
        <v>1.9094479239580475</v>
      </c>
      <c r="H1542" s="1">
        <f t="shared" si="1622"/>
        <v>1.9422488866615137</v>
      </c>
      <c r="I1542" s="1">
        <f t="shared" si="1622"/>
        <v>1.9800733381948761</v>
      </c>
      <c r="J1542" s="1">
        <f t="shared" si="1622"/>
        <v>1.9953734351594499</v>
      </c>
      <c r="K1542" s="1">
        <f t="shared" si="1622"/>
        <v>2.0184902194430245</v>
      </c>
      <c r="L1542" s="1">
        <f t="shared" ref="L1542" si="1624">IFERROR(L1528/L1514,"-")</f>
        <v>2.0591432914749674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1.1027629847473186</v>
      </c>
      <c r="G1543" s="1">
        <f t="shared" si="1622"/>
        <v>1.1050191842826376</v>
      </c>
      <c r="H1543" s="1">
        <f t="shared" si="1622"/>
        <v>1.1057099384720861</v>
      </c>
      <c r="I1543" s="1">
        <f t="shared" si="1622"/>
        <v>1.1075047907142146</v>
      </c>
      <c r="J1543" s="1">
        <f t="shared" si="1622"/>
        <v>1.1123504952839958</v>
      </c>
      <c r="K1543" s="1">
        <f t="shared" si="1622"/>
        <v>1.1797835538280046</v>
      </c>
      <c r="L1543" s="1">
        <f t="shared" ref="L1543" si="1625">IFERROR(L1529/L1515,"-")</f>
        <v>1.2153729700610152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0.72942698043637011</v>
      </c>
      <c r="G1544" s="1">
        <f t="shared" si="1622"/>
        <v>0.73052241197071599</v>
      </c>
      <c r="H1544" s="1">
        <f t="shared" si="1622"/>
        <v>0.73128974811804781</v>
      </c>
      <c r="I1544" s="1">
        <f t="shared" si="1622"/>
        <v>0.73281932392731264</v>
      </c>
      <c r="J1544" s="1">
        <f t="shared" si="1622"/>
        <v>0.73069102037419087</v>
      </c>
      <c r="K1544" s="1">
        <f t="shared" si="1622"/>
        <v>0.73939612217203454</v>
      </c>
      <c r="L1544" s="1">
        <f t="shared" ref="L1544" si="1626">IFERROR(L1530/L1516,"-")</f>
        <v>0.7942602527840853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0.67580166525687302</v>
      </c>
      <c r="G1545" s="1">
        <f t="shared" si="1622"/>
        <v>0.67679399410138485</v>
      </c>
      <c r="H1545" s="1">
        <f t="shared" si="1622"/>
        <v>0.67735325944947478</v>
      </c>
      <c r="I1545" s="1">
        <f t="shared" si="1622"/>
        <v>0.67832723395646011</v>
      </c>
      <c r="J1545" s="1">
        <f t="shared" si="1622"/>
        <v>0.67729110812254034</v>
      </c>
      <c r="K1545" s="1">
        <f t="shared" si="1622"/>
        <v>0.68025247243921438</v>
      </c>
      <c r="L1545" s="1">
        <f t="shared" ref="L1545" si="1627">IFERROR(L1531/L1517,"-")</f>
        <v>0.70416357020735476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16.746154851561879</v>
      </c>
      <c r="G1546" s="3">
        <f t="shared" ref="G1546:K1546" si="1628">G1547+G1550+G1552+G1559+G1567</f>
        <v>15.627497973858221</v>
      </c>
      <c r="H1546" s="3">
        <f t="shared" si="1628"/>
        <v>14.028188506814873</v>
      </c>
      <c r="I1546" s="3">
        <f t="shared" si="1628"/>
        <v>10.779874618999813</v>
      </c>
      <c r="J1546" s="3">
        <f t="shared" si="1628"/>
        <v>8.1152011807945854</v>
      </c>
      <c r="K1546" s="3">
        <f t="shared" si="1628"/>
        <v>7.6284911032272218</v>
      </c>
      <c r="L1546" s="3">
        <f t="shared" ref="L1546" si="1629">L1547+L1550+L1552+L1559+L1567</f>
        <v>8.2229066071907919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7.3731691560619039E-2</v>
      </c>
      <c r="G1547" s="1">
        <f t="shared" ref="G1547:K1547" si="1632">SUM(G1548:G1549)</f>
        <v>0.16481656189411104</v>
      </c>
      <c r="H1547" s="1">
        <f t="shared" si="1632"/>
        <v>0.21460273354552603</v>
      </c>
      <c r="I1547" s="1">
        <f t="shared" si="1632"/>
        <v>2.9037451050604095</v>
      </c>
      <c r="J1547" s="1">
        <f t="shared" si="1632"/>
        <v>5.9413391833667495</v>
      </c>
      <c r="K1547" s="1">
        <f t="shared" si="1632"/>
        <v>7.3816100393801429</v>
      </c>
      <c r="L1547" s="1">
        <f t="shared" ref="L1547" si="1633">SUM(L1548:L1549)</f>
        <v>8.2228649308387602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3.9519211782301972E-2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3.4576786983343169E-2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2.5780761281755226E-2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1.2384698213797668E-2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3.4212479778317061E-2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0.13023977491076785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0.18882197226377082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2.8913604068466117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5.9413391833667495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7.3816100393801429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8.2228649308387602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8.5705334089631626E-4</v>
      </c>
      <c r="H1550" s="1">
        <f t="shared" si="1635"/>
        <v>1.268651043729762E-3</v>
      </c>
      <c r="I1550" s="1">
        <f t="shared" si="1635"/>
        <v>4.0119301108514343E-4</v>
      </c>
      <c r="J1550" s="1">
        <f t="shared" si="1635"/>
        <v>5.9084067526968736E-5</v>
      </c>
      <c r="K1550" s="1">
        <f t="shared" si="1635"/>
        <v>5.0254057474641844E-5</v>
      </c>
      <c r="L1550" s="1">
        <f t="shared" si="1635"/>
        <v>4.1676352031475102E-5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8.5705334089631626E-4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1.268651043729762E-3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4.0119301108514343E-4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5.9084067526968736E-5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5.0254057474641844E-5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4.1676352031475102E-5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1.1426045680673971</v>
      </c>
      <c r="G1552" s="1">
        <f t="shared" ref="G1552:K1552" si="1636">SUM(G1557:G1558)</f>
        <v>2.4847566615095085</v>
      </c>
      <c r="H1552" s="1">
        <f t="shared" si="1636"/>
        <v>1.531234194045543</v>
      </c>
      <c r="I1552" s="1">
        <f t="shared" si="1636"/>
        <v>1.7782985166803342</v>
      </c>
      <c r="J1552" s="1">
        <f t="shared" si="1636"/>
        <v>1.0201297055652856</v>
      </c>
      <c r="K1552" s="1">
        <f t="shared" si="1636"/>
        <v>0.1473751841861381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1.0800577174111838</v>
      </c>
      <c r="G1553" s="1">
        <f t="shared" ref="G1553:L1553" si="1638">IF(G1552-G1554&lt;0,0,G1552-G1554)</f>
        <v>2.3487160030854031</v>
      </c>
      <c r="H1553" s="1">
        <f t="shared" si="1638"/>
        <v>1.4473940232304285</v>
      </c>
      <c r="I1553" s="1">
        <f t="shared" si="1638"/>
        <v>1.622641821203574</v>
      </c>
      <c r="J1553" s="1">
        <f t="shared" si="1638"/>
        <v>0.93276020358488587</v>
      </c>
      <c r="K1553" s="1">
        <f t="shared" si="1638"/>
        <v>6.3788892367950503E-2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6.254685065621321E-2</v>
      </c>
      <c r="G1554" s="1">
        <f t="shared" ref="G1554:K1554" si="1639">SUM(G1555:G1556)</f>
        <v>0.13604065842410523</v>
      </c>
      <c r="H1554" s="1">
        <f t="shared" si="1639"/>
        <v>8.3840170815114357E-2</v>
      </c>
      <c r="I1554" s="1">
        <f t="shared" si="1639"/>
        <v>0.15565669547676023</v>
      </c>
      <c r="J1554" s="1">
        <f t="shared" si="1639"/>
        <v>8.7369501980399666E-2</v>
      </c>
      <c r="K1554" s="1">
        <f t="shared" si="1639"/>
        <v>8.3586291818187594E-2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6.254685065621321E-2</v>
      </c>
      <c r="G1555" s="1">
        <f>[1]Transport!C$25/SUM([1]Transport!C$21,[1]Transport!C$25)*G1552*(G$35+G$600)/(G$35+G$600+G$39)</f>
        <v>0.13604065842410523</v>
      </c>
      <c r="H1555" s="1">
        <f>[1]Transport!D$25/SUM([1]Transport!D$21,[1]Transport!D$25)*H1552*(H$35+H$600)/(H$35+H$600+H$39)</f>
        <v>8.3840170815114357E-2</v>
      </c>
      <c r="I1555" s="1">
        <f>[1]Transport!E$25/SUM([1]Transport!E$21,[1]Transport!E$25)*I1552*(I$35+I$600)/(I$35+I$600+I$39)</f>
        <v>0.15565669547676023</v>
      </c>
      <c r="J1555" s="1">
        <f>[2]Transport!F$25/SUM([2]Transport!F$21,[2]Transport!F$25)*J1552*(J$35+J$600)/(J$35+J$600+J$39)</f>
        <v>8.7369501980399666E-2</v>
      </c>
      <c r="K1555" s="1">
        <f>[2]Transport!G$25/SUM([2]Transport!G$21,[2]Transport!G$25)*K1552*(K$35+K$600)/(K$35+K$600+K$39)</f>
        <v>6.7086847135543637E-2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1.6499444682643957E-2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0.83166199793323137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1.74026824931518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0.55376165763023222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0.27154981516724613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0.31094257013416571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0.74448841219432871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0.97747253641531073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1.506748701513088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1.0201297055652856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0.1473751841861381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15.505105359707931</v>
      </c>
      <c r="G1559" s="1">
        <f t="shared" ref="G1559:K1559" si="1641">SUM(G1564:G1566)</f>
        <v>12.950275711406938</v>
      </c>
      <c r="H1559" s="1">
        <f t="shared" si="1641"/>
        <v>12.247283116217471</v>
      </c>
      <c r="I1559" s="1">
        <f t="shared" si="1641"/>
        <v>6.0928916622375153</v>
      </c>
      <c r="J1559" s="1">
        <f t="shared" si="1641"/>
        <v>1.150942733285983</v>
      </c>
      <c r="K1559" s="1">
        <f t="shared" si="1641"/>
        <v>9.9097742740735573E-2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15.130817414322925</v>
      </c>
      <c r="G1560" s="1">
        <f t="shared" ref="G1560:L1560" si="1643">IF(G1559-G1561&lt;0,0,G1559-G1561)</f>
        <v>12.612645559863992</v>
      </c>
      <c r="H1560" s="1">
        <f t="shared" si="1643"/>
        <v>11.700006341135857</v>
      </c>
      <c r="I1560" s="1">
        <f t="shared" si="1643"/>
        <v>5.7862831776059975</v>
      </c>
      <c r="J1560" s="1">
        <f t="shared" si="1643"/>
        <v>1.0516949046418012</v>
      </c>
      <c r="K1560" s="1">
        <f t="shared" si="1643"/>
        <v>8.3285813018565066E-2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0.37428794538500659</v>
      </c>
      <c r="G1561" s="1">
        <f t="shared" ref="G1561:K1561" si="1644">SUM(G1562:G1563)</f>
        <v>0.33763015154294518</v>
      </c>
      <c r="H1561" s="1">
        <f t="shared" si="1644"/>
        <v>0.54727677508161288</v>
      </c>
      <c r="I1561" s="1">
        <f t="shared" si="1644"/>
        <v>0.30660848463151807</v>
      </c>
      <c r="J1561" s="1">
        <f t="shared" si="1644"/>
        <v>9.9247828644181857E-2</v>
      </c>
      <c r="K1561" s="1">
        <f t="shared" si="1644"/>
        <v>1.581192972217051E-2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0.37428794538500659</v>
      </c>
      <c r="G1562" s="1">
        <f>[1]Transport!C$26/SUM([1]Transport!C$22,[1]Transport!C$26)*G1559*(G$34+G$582)/(G$34+G$582+G$38)</f>
        <v>0.33763015154294518</v>
      </c>
      <c r="H1562" s="1">
        <f>[1]Transport!D$26/SUM([1]Transport!D$22,[1]Transport!D$26)*H1559*(H$34+H$582)/(H$34+H$582+H$38)</f>
        <v>0.54727677508161288</v>
      </c>
      <c r="I1562" s="1">
        <f>[1]Transport!E$26/SUM([1]Transport!E$22,[1]Transport!E$26)*I1559*(I$34+I$582)/(I$34+I$582+I$38)</f>
        <v>0.30660848463151807</v>
      </c>
      <c r="J1562" s="1">
        <f>[2]Transport!F$26/SUM([2]Transport!F$22,[2]Transport!F$26)*J1559*(J$34+J$582)/(J$34+J$582+J$38)</f>
        <v>9.9247828644181857E-2</v>
      </c>
      <c r="K1562" s="1">
        <f>[2]Transport!G$26/SUM([2]Transport!G$22,[2]Transport!G$26)*K1559*(K$34+K$582)/(K$34+K$582+K$38)</f>
        <v>1.5796245569090411E-2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1.5684153080100039E-5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11.106116530533903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7.4902628750306288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5.4684911251447881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2.7260035426314948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4.3989888291740282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5.2516929119839455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5.1524301739934444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2.1659502311627272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7.4187798953010602E-3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7.0677696284040235E-4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0.20831992439236316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1.6263618170792393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1.2009378884432929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1.1435239533906818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9.8390965777895176E-2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2.4713232225930182E-2</v>
      </c>
      <c r="G1567" s="1">
        <f t="shared" ref="G1567:K1567" si="1646">G1572</f>
        <v>2.6791985706767552E-2</v>
      </c>
      <c r="H1567" s="1">
        <f t="shared" si="1646"/>
        <v>3.3799811962603565E-2</v>
      </c>
      <c r="I1567" s="1">
        <f t="shared" si="1646"/>
        <v>4.5381420104671309E-3</v>
      </c>
      <c r="J1567" s="1">
        <f t="shared" si="1646"/>
        <v>2.730474509040307E-3</v>
      </c>
      <c r="K1567" s="1">
        <f t="shared" si="1646"/>
        <v>3.5788286273105051E-4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2.2723868807264892E-2</v>
      </c>
      <c r="G1568" s="1">
        <f t="shared" ref="G1568:L1568" si="1648">IF(G1567-G1569&lt;0,0,G1567-G1569)</f>
        <v>2.417907903291909E-2</v>
      </c>
      <c r="H1568" s="1">
        <f t="shared" si="1648"/>
        <v>3.06382304545443E-2</v>
      </c>
      <c r="I1568" s="1">
        <f t="shared" si="1648"/>
        <v>3.778832016056455E-3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1.9893634186652896E-3</v>
      </c>
      <c r="G1569" s="1">
        <f t="shared" ref="G1569:K1569" si="1649">SUM(G1570:G1571)</f>
        <v>2.6129066738484626E-3</v>
      </c>
      <c r="H1569" s="1">
        <f t="shared" si="1649"/>
        <v>3.1615815080592666E-3</v>
      </c>
      <c r="I1569" s="1">
        <f t="shared" si="1649"/>
        <v>7.5930999441067609E-4</v>
      </c>
      <c r="J1569" s="1">
        <f t="shared" si="1649"/>
        <v>2.6070047940466891E-2</v>
      </c>
      <c r="K1569" s="1">
        <f t="shared" si="1649"/>
        <v>0.14848031047863358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1.9893634186652896E-3</v>
      </c>
      <c r="G1570" s="1">
        <f>[1]Transport!C$27/SUM([1]Transport!C$24,[1]Transport!C$27)*G1567*(G$47+G$614)/(G$47+G$614+G$49)</f>
        <v>2.6129066738484626E-3</v>
      </c>
      <c r="H1570" s="1">
        <f>[1]Transport!D$27/SUM([1]Transport!D$24,[1]Transport!D$27)*H1567*(H$47+H$614)/(H$47+H$614+H$49)</f>
        <v>3.1615815080592666E-3</v>
      </c>
      <c r="I1570" s="1">
        <f>[1]Transport!E$27/SUM([1]Transport!E$24,[1]Transport!E$27)*I1567*(I$47+I$614)/(I$47+I$614+I$49)</f>
        <v>7.5930999441067609E-4</v>
      </c>
      <c r="J1570" s="1">
        <f>[2]Transport!F$27/SUM([2]Transport!F$24,[2]Transport!F$27)*J1567*(J$47+J$614)/(J$47+J$614+J$49)</f>
        <v>5.445514438737779E-4</v>
      </c>
      <c r="K1570" s="1">
        <f>[2]Transport!G$27/SUM([2]Transport!G$24,[2]Transport!G$27)*K1567*(K$47+K$614)/(K$47+K$614+K$49)</f>
        <v>1.1978973557835783E-4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2.5525496496593112E-2</v>
      </c>
      <c r="K1571" s="1">
        <f>(K$49+K$716)/([2]Transport!G$24+[2]Transport!G$27)*K1567</f>
        <v>0.14836052074305522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2.4713232225930182E-2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2.6791985706767552E-2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3.3799811962603565E-2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4.5381420104671309E-3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2.730474509040307E-3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3.5788286273105051E-4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4.7803876426049872</v>
      </c>
      <c r="G1573" s="3">
        <f t="shared" ref="G1573:K1573" si="1651">SUM(G1574:G1582)</f>
        <v>4.7704279757921242</v>
      </c>
      <c r="H1573" s="3">
        <f t="shared" si="1651"/>
        <v>4.7092082255660062</v>
      </c>
      <c r="I1573" s="3">
        <f t="shared" si="1651"/>
        <v>4.6479370986648227</v>
      </c>
      <c r="J1573" s="3">
        <f t="shared" si="1651"/>
        <v>4.9368195971908415</v>
      </c>
      <c r="K1573" s="3">
        <f t="shared" si="1651"/>
        <v>5.126998618877983</v>
      </c>
      <c r="L1573" s="3">
        <f t="shared" ref="L1573" si="1652">SUM(L1574:L1582)</f>
        <v>5.6027359048861172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2.7237543907744723E-2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2.4053218470938761E-2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1.8182701675714088E-2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8.7347022263688911E-3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2.3310932083846735E-2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8.8739856544527054E-2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0.12865528017552175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1.9700503006695596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4.0481764282499029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5.0295158787784269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5.6027112673343975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3.986184500137294E-4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6.0023490627610608E-4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1.9825360342799568E-4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3.1229566077491057E-5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2.8315231499195413E-5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2.4637551719711161E-5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0.23085544539155137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0.48757154799947011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0.15729653438406543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7.7133987609815685E-2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0.10921223831108169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0.26148637626981458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0.34331729985850745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0.52921476204933138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0.35829976083473491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5.1762528783148902E-2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2.8768910679731654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2.0069220302618147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1.5382247735055503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0.76679399965719586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1.5049579228836167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1.7966803652752117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1.7627211419657105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0.7410030094511475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2.5380722741365552E-3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2.4179865674676048E-4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9.5987070062571622E-2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0.74937481922780114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0.55335325977599581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0.52689877913744165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4.5335368439645744E-2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7.9224920539807727E-3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8.5888924577628162E-3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1.0835439866858306E-2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1.4548236219800634E-3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8.7532712854822314E-4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1.1472898851602646E-4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0.68922285337539568</v>
      </c>
      <c r="G1584" s="1">
        <f t="shared" ref="G1584:K1584" si="1653">IFERROR(G1574/G1548,"-")</f>
        <v>0.69564643130450576</v>
      </c>
      <c r="H1584" s="1">
        <f t="shared" si="1653"/>
        <v>0.70528179819817016</v>
      </c>
      <c r="I1584" s="1">
        <f t="shared" si="1653"/>
        <v>0.70528179819817061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0.68135756995377372</v>
      </c>
      <c r="G1585" s="1">
        <f t="shared" ref="G1585:K1585" si="1655">IFERROR(G1575/G1549,"-")</f>
        <v>0.68135756995377217</v>
      </c>
      <c r="H1585" s="1">
        <f t="shared" si="1655"/>
        <v>0.68135756995377372</v>
      </c>
      <c r="I1585" s="1">
        <f t="shared" si="1655"/>
        <v>0.68135756995377295</v>
      </c>
      <c r="J1585" s="1">
        <f t="shared" si="1655"/>
        <v>0.68135756995377306</v>
      </c>
      <c r="K1585" s="1">
        <f t="shared" si="1655"/>
        <v>0.68135756995377272</v>
      </c>
      <c r="L1585" s="1">
        <f t="shared" ref="L1585" si="1656">IFERROR(L1575/L1549,"-")</f>
        <v>0.68135756995377306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0.4651034317150548</v>
      </c>
      <c r="H1586" s="1">
        <f t="shared" si="1657"/>
        <v>0.47312845344094745</v>
      </c>
      <c r="I1586" s="1">
        <f t="shared" si="1657"/>
        <v>0.49416016219166187</v>
      </c>
      <c r="J1586" s="1">
        <f t="shared" si="1657"/>
        <v>0.52856154602484706</v>
      </c>
      <c r="K1586" s="1">
        <f t="shared" si="1657"/>
        <v>0.56344169848341608</v>
      </c>
      <c r="L1586" s="1">
        <f t="shared" ref="L1586" si="1658">IFERROR(L1576/L1551,"-")</f>
        <v>0.59116382597748041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659">IFERROR(G1577/G1557,"-")</f>
        <v>0.28017034051580059</v>
      </c>
      <c r="H1587" s="1">
        <f t="shared" si="1659"/>
        <v>0.28405096708428723</v>
      </c>
      <c r="I1587" s="1">
        <f t="shared" si="1659"/>
        <v>0.28405096708428712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0.35122961215622139</v>
      </c>
      <c r="G1588" s="1">
        <f t="shared" ref="G1588:K1588" si="1661">IFERROR(G1578/G1558,"-")</f>
        <v>0.35122961215622062</v>
      </c>
      <c r="H1588" s="1">
        <f t="shared" si="1661"/>
        <v>0.35122961215622128</v>
      </c>
      <c r="I1588" s="1">
        <f t="shared" si="1661"/>
        <v>0.35122961215622089</v>
      </c>
      <c r="J1588" s="1">
        <f t="shared" si="1661"/>
        <v>0.35122961215622073</v>
      </c>
      <c r="K1588" s="1">
        <f t="shared" si="1661"/>
        <v>0.35122961215622089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0.25903663625928702</v>
      </c>
      <c r="G1589" s="1">
        <f t="shared" ref="G1589:K1589" si="1663">IFERROR(G1579/G1564,"-")</f>
        <v>0.26793746277611225</v>
      </c>
      <c r="H1589" s="1">
        <f t="shared" si="1663"/>
        <v>0.28128870255135013</v>
      </c>
      <c r="I1589" s="1">
        <f t="shared" si="1663"/>
        <v>0.28128870255134963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0.34211451343153187</v>
      </c>
      <c r="G1590" s="1">
        <f t="shared" ref="G1590:K1590" si="1665">IFERROR(G1580/G1565,"-")</f>
        <v>0.34211451343153176</v>
      </c>
      <c r="H1590" s="1">
        <f t="shared" si="1665"/>
        <v>0.34211451343153193</v>
      </c>
      <c r="I1590" s="1">
        <f t="shared" si="1665"/>
        <v>0.34211451343153054</v>
      </c>
      <c r="J1590" s="1">
        <f t="shared" si="1665"/>
        <v>0.34211451343153215</v>
      </c>
      <c r="K1590" s="1">
        <f t="shared" si="1665"/>
        <v>0.34211451343153237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0.46076759264650746</v>
      </c>
      <c r="H1591" s="1">
        <f t="shared" si="1667"/>
        <v>0.4607675926465078</v>
      </c>
      <c r="I1591" s="1">
        <f t="shared" si="1667"/>
        <v>0.4607675926465073</v>
      </c>
      <c r="J1591" s="1">
        <f t="shared" si="1667"/>
        <v>0.46076759264650763</v>
      </c>
      <c r="K1591" s="1">
        <f t="shared" si="1667"/>
        <v>0.46076759264650829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0.32057692743518001</v>
      </c>
      <c r="G1592" s="1">
        <f t="shared" ref="G1592:K1592" si="1669">IFERROR(G1582/G1572,"-")</f>
        <v>0.32057692743518057</v>
      </c>
      <c r="H1592" s="1">
        <f t="shared" si="1669"/>
        <v>0.3205769274351804</v>
      </c>
      <c r="I1592" s="1">
        <f t="shared" si="1669"/>
        <v>0.32057692743518001</v>
      </c>
      <c r="J1592" s="1">
        <f t="shared" si="1669"/>
        <v>0.32057692743517996</v>
      </c>
      <c r="K1592" s="1">
        <f t="shared" si="1669"/>
        <v>0.32057692743517996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24.493844366224497</v>
      </c>
      <c r="G1593" s="3">
        <f t="shared" ref="G1593" si="1671">G1594+G1597+G1599+G1606+G1614</f>
        <v>22.869550419304488</v>
      </c>
      <c r="H1593" s="3">
        <f t="shared" ref="H1593" si="1672">H1594+H1597+H1599+H1606+H1614</f>
        <v>20.483287856355357</v>
      </c>
      <c r="I1593" s="3">
        <f t="shared" ref="I1593" si="1673">I1594+I1597+I1599+I1606+I1614</f>
        <v>14.559628673888035</v>
      </c>
      <c r="J1593" s="3">
        <f t="shared" ref="J1593" si="1674">J1594+J1597+J1599+J1606+J1614</f>
        <v>11.963614789317814</v>
      </c>
      <c r="K1593" s="3">
        <f t="shared" ref="K1593:L1593" si="1675">K1594+K1597+K1599+K1606+K1614</f>
        <v>11.431444471305166</v>
      </c>
      <c r="L1593" s="3">
        <f t="shared" si="1675"/>
        <v>8.4063167950957371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9.7914525133997368E-3</v>
      </c>
      <c r="G1594" s="1">
        <f t="shared" ref="G1594" si="1678">SUM(G1595:G1596)</f>
        <v>3.9914238527417281E-2</v>
      </c>
      <c r="H1594" s="1">
        <f t="shared" ref="H1594" si="1679">SUM(H1595:H1596)</f>
        <v>5.8172239882340576E-2</v>
      </c>
      <c r="I1594" s="1">
        <f t="shared" ref="I1594" si="1680">SUM(I1595:I1596)</f>
        <v>2.5762202347614376</v>
      </c>
      <c r="J1594" s="1">
        <f t="shared" ref="J1594" si="1681">SUM(J1595:J1596)</f>
        <v>3.7419235304818677</v>
      </c>
      <c r="K1594" s="1">
        <f t="shared" ref="K1594:L1594" si="1682">SUM(K1595:K1596)</f>
        <v>4.7664040418485527</v>
      </c>
      <c r="L1594" s="1">
        <f t="shared" si="1682"/>
        <v>8.2224049240279804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9.7914525133997368E-3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3.9914238527417281E-2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5.8172239882340576E-2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2.5762202347614376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3.7419235304818677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4.7664040418485527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8.2224049240279804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4.6087908476744157E-3</v>
      </c>
      <c r="G1597" s="1">
        <f t="shared" ref="G1597" si="1684">G1598</f>
        <v>1.4122655236471049E-2</v>
      </c>
      <c r="H1597" s="1">
        <f t="shared" ref="H1597" si="1685">H1598</f>
        <v>1.4181376923106181E-2</v>
      </c>
      <c r="I1597" s="1">
        <f t="shared" ref="I1597" si="1686">I1598</f>
        <v>5.2476662131087483E-3</v>
      </c>
      <c r="J1597" s="1">
        <f t="shared" ref="J1597" si="1687">J1598</f>
        <v>6.823838754697677E-4</v>
      </c>
      <c r="K1597" s="1">
        <f t="shared" ref="K1597:L1597" si="1688">K1598</f>
        <v>6.872857047372778E-4</v>
      </c>
      <c r="L1597" s="1">
        <f t="shared" si="1688"/>
        <v>5.6297117770585979E-4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4.6087908476744157E-3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1.4122655236471049E-2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1.4181376923106181E-2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5.2476662131087483E-3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6.823838754697677E-4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6.872857047372778E-4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5.6297117770585979E-4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24.419085661172968</v>
      </c>
      <c r="G1606" s="1">
        <f t="shared" ref="G1606:K1606" si="1695">SUM(G1611:G1613)</f>
        <v>22.780296868457707</v>
      </c>
      <c r="H1606" s="1">
        <f t="shared" si="1695"/>
        <v>20.367808026636933</v>
      </c>
      <c r="I1606" s="1">
        <f t="shared" si="1695"/>
        <v>11.936198680067706</v>
      </c>
      <c r="J1606" s="1">
        <f t="shared" si="1695"/>
        <v>8.1670210978791928</v>
      </c>
      <c r="K1606" s="1">
        <f t="shared" si="1695"/>
        <v>6.6379595453550255</v>
      </c>
      <c r="L1606" s="1">
        <f t="shared" ref="L1606" si="1696">SUM(L1611:L1613)</f>
        <v>0.18142412082601461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23.829617277162381</v>
      </c>
      <c r="G1607" s="1">
        <f t="shared" ref="G1607:L1607" si="1697">IF(G1606-G1608&lt;0,0,G1606-G1608)</f>
        <v>22.186385568398208</v>
      </c>
      <c r="H1607" s="1">
        <f t="shared" si="1697"/>
        <v>19.457661001658064</v>
      </c>
      <c r="I1607" s="1">
        <f t="shared" si="1697"/>
        <v>11.335541390813969</v>
      </c>
      <c r="J1607" s="1">
        <f t="shared" si="1697"/>
        <v>7.462764415931554</v>
      </c>
      <c r="K1607" s="1">
        <f t="shared" si="1697"/>
        <v>5.5788138279357762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0.58946838401058577</v>
      </c>
      <c r="G1608" s="1">
        <f t="shared" ref="G1608:K1608" si="1698">SUM(G1609:G1610)</f>
        <v>0.59391130005949955</v>
      </c>
      <c r="H1608" s="1">
        <f t="shared" si="1698"/>
        <v>0.9101470249788679</v>
      </c>
      <c r="I1608" s="1">
        <f t="shared" si="1698"/>
        <v>0.60065728925373774</v>
      </c>
      <c r="J1608" s="1">
        <f t="shared" si="1698"/>
        <v>0.70425668194763835</v>
      </c>
      <c r="K1608" s="1">
        <f t="shared" si="1698"/>
        <v>1.0591457174192491</v>
      </c>
      <c r="L1608" s="1">
        <f t="shared" ref="L1608" si="1699">SUM(L1609:L1610)</f>
        <v>0.21495654236252942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0.58946838401058577</v>
      </c>
      <c r="G1609" s="1">
        <f>[1]Transport!C$26/SUM([1]Transport!C$22,[1]Transport!C$26)*G1606*(G$34+G$582)/(G$34+G$582+G$38)</f>
        <v>0.59391130005949955</v>
      </c>
      <c r="H1609" s="1">
        <f>[1]Transport!D$26/SUM([1]Transport!D$22,[1]Transport!D$26)*H1606*(H$34+H$582)/(H$34+H$582+H$38)</f>
        <v>0.9101470249788679</v>
      </c>
      <c r="I1609" s="1">
        <f>[1]Transport!E$26/SUM([1]Transport!E$22,[1]Transport!E$26)*I1606*(I$34+I$582)/(I$34+I$582+I$38)</f>
        <v>0.60065728925373774</v>
      </c>
      <c r="J1609" s="1">
        <f>[2]Transport!F$26/SUM([2]Transport!F$22,[2]Transport!F$26)*J1606*(J$34+J$582)/(J$34+J$582+J$38)</f>
        <v>0.70425668194763835</v>
      </c>
      <c r="K1609" s="1">
        <f>[2]Transport!G$26/SUM([2]Transport!G$22,[2]Transport!G$26)*K1606*(K$34+K$582)/(K$34+K$582+K$38)</f>
        <v>1.0580951306877104</v>
      </c>
      <c r="L1609" s="1">
        <f>[2]Transport!H$26/SUM([2]Transport!H$22,[2]Transport!H$26)*L1606*(L$34+L$582)/(L$34+L$582+L$38)</f>
        <v>7.6839472964504982E-2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1.0505867315387721E-3</v>
      </c>
      <c r="L1610" s="1">
        <f>(L$38+L$718)/([2]Transport!H$22+[2]Transport!H$26)*L1606</f>
        <v>0.13811706939802446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19.168517225299297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15.578436377329401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11.513182344825596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4.9592164336573603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5.2505684358736708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6.1664743086861487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4.8081552621411419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0.45680286297133099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1.5783865334237745E-3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1.3824168214807584E-3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1.2437348753294861E-4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1.0353861824421562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4.0464704196701975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6.5201793834390145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8.1654427113457686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6.6365771285335446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0.18129974733848167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6.0358461690455945E-2</v>
      </c>
      <c r="G1614" s="1">
        <f t="shared" ref="G1614:K1614" si="1700">G1619</f>
        <v>3.5216657082892962E-2</v>
      </c>
      <c r="H1614" s="1">
        <f t="shared" si="1700"/>
        <v>4.3126212912977586E-2</v>
      </c>
      <c r="I1614" s="1">
        <f t="shared" si="1700"/>
        <v>4.1962092845783096E-2</v>
      </c>
      <c r="J1614" s="1">
        <f t="shared" si="1700"/>
        <v>5.3987777081284077E-2</v>
      </c>
      <c r="K1614" s="1">
        <f t="shared" si="1700"/>
        <v>2.6393598396851629E-2</v>
      </c>
      <c r="L1614" s="1">
        <f t="shared" ref="L1614" si="1701">L1619</f>
        <v>1.9247790640368287E-3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5.549973197852795E-2</v>
      </c>
      <c r="G1615" s="1">
        <f t="shared" ref="G1615:L1615" si="1702">IF(G1614-G1616&lt;0,0,G1614-G1616)</f>
        <v>3.1782128588826154E-2</v>
      </c>
      <c r="H1615" s="1">
        <f t="shared" si="1702"/>
        <v>3.9092254457553266E-2</v>
      </c>
      <c r="I1615" s="1">
        <f t="shared" si="1702"/>
        <v>3.4941105752231985E-2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4.8587297119279931E-3</v>
      </c>
      <c r="G1616" s="1">
        <f t="shared" ref="G1616:K1616" si="1703">SUM(G1617:G1618)</f>
        <v>3.4345284940668058E-3</v>
      </c>
      <c r="H1616" s="1">
        <f t="shared" si="1703"/>
        <v>4.0339584554243187E-3</v>
      </c>
      <c r="I1616" s="1">
        <f t="shared" si="1703"/>
        <v>7.0209870935511141E-3</v>
      </c>
      <c r="J1616" s="1">
        <f t="shared" si="1703"/>
        <v>6.4754814775212943E-2</v>
      </c>
      <c r="K1616" s="1">
        <f t="shared" si="1703"/>
        <v>3.5228003455515293E-2</v>
      </c>
      <c r="L1616" s="1">
        <f t="shared" ref="L1616" si="1704">SUM(L1617:L1618)</f>
        <v>2.8878341959954791E-3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4.8587297119279931E-3</v>
      </c>
      <c r="G1617" s="1">
        <f>[1]Transport!C$27/SUM([1]Transport!C$24,[1]Transport!C$27)*G1614*(G$47+G$614)/(G$47+G$614+G$49)</f>
        <v>3.4345284940668058E-3</v>
      </c>
      <c r="H1617" s="1">
        <f>[1]Transport!D$27/SUM([1]Transport!D$24,[1]Transport!D$27)*H1614*(H$47+H$614)/(H$47+H$614+H$49)</f>
        <v>4.0339584554243187E-3</v>
      </c>
      <c r="I1617" s="1">
        <f>[1]Transport!E$27/SUM([1]Transport!E$24,[1]Transport!E$27)*I1614*(I$47+I$614)/(I$47+I$614+I$49)</f>
        <v>7.0209870935511141E-3</v>
      </c>
      <c r="J1617" s="1">
        <f>[2]Transport!F$27/SUM([2]Transport!F$24,[2]Transport!F$27)*J1614*(J$47+J$614)/(J$47+J$614+J$49)</f>
        <v>1.0767037693928868E-2</v>
      </c>
      <c r="K1617" s="1">
        <f>[2]Transport!G$27/SUM([2]Transport!G$24,[2]Transport!G$27)*K1614*(K$47+K$614)/(K$47+K$614+K$49)</f>
        <v>8.8344050586636625E-3</v>
      </c>
      <c r="L1617" s="1">
        <f>[2]Transport!H$27/SUM([2]Transport!H$24,[2]Transport!H$27)*L1614*(L$47+L$614)/(L$47+L$614+L$49)</f>
        <v>9.6305513195865059E-4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5.3987777081284077E-2</v>
      </c>
      <c r="K1618" s="1">
        <f>IF((K$49+K$716)/([2]Transport!G$24+[2]Transport!G$27)*K1614&gt;K1614,K1614,(K$49+K$716)/([2]Transport!G$24+[2]Transport!G$27)*K1614)</f>
        <v>2.6393598396851629E-2</v>
      </c>
      <c r="L1618" s="1">
        <f>IF((L$49+L$716)/([2]Transport!H$24+[2]Transport!H$27)*L1614&gt;L1614,L1614,(L$49+L$716)/([2]Transport!H$24+[2]Transport!H$27)*L1614)</f>
        <v>1.9247790640368287E-3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6.0358461690455945E-2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3.5216657082892962E-2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4.3126212912977586E-2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4.1962092845783096E-2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5.3987777081284077E-2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2.6393598396851629E-2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1.9247790640368287E-3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2.2038568080288674</v>
      </c>
      <c r="G1620" s="3">
        <f t="shared" ref="G1620" si="1705">SUM(G1621:G1629)</f>
        <v>2.2267242478335252</v>
      </c>
      <c r="H1620" s="3">
        <f t="shared" ref="H1620" si="1706">SUM(H1621:H1629)</f>
        <v>2.2575406102059503</v>
      </c>
      <c r="I1620" s="3">
        <f t="shared" ref="I1620" si="1707">SUM(I1621:I1629)</f>
        <v>2.3110167842809854</v>
      </c>
      <c r="J1620" s="3">
        <f t="shared" ref="J1620" si="1708">SUM(J1621:J1629)</f>
        <v>2.4681411164847762</v>
      </c>
      <c r="K1620" s="3">
        <f t="shared" ref="K1620:L1620" si="1709">SUM(K1621:K1629)</f>
        <v>2.5785548381535963</v>
      </c>
      <c r="L1620" s="3">
        <f t="shared" si="1709"/>
        <v>2.8125905469987136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2.6312351418576866E-3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1.0838929443188179E-2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1.598971000549948E-2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0.75365426834579996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1.1268081508979433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1.4902729088522724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2.7825837950916097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8.0404380388603451E-4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2.4770105580335529E-3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2.4925966819578241E-3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9.455148011890094E-4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1.3242881453708679E-4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1.3625234812435298E-4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1.2249738343252068E-4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1.5709301792634554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1.3085296230128249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1.0023380432991076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0.43174954999674281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0.6232609288790425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0.73198217535488175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0.57074493009214755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5.4224105478732625E-2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1.8736002948377604E-4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1.6409773585033646E-4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1.4763570138061278E-5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0.1692513199482989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0.66146378160613506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1.0658331989169563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1.3347792160001093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1.0848603718987184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2.9636498983359152E-2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6.2304209406257123E-3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3.645189516297899E-3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4.5115485211031144E-3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4.6101467415647877E-3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6.2339607427027415E-3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3.1212073186310169E-3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2.3299197017467358E-4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0.26872776416540911</v>
      </c>
      <c r="G1632" s="1">
        <f t="shared" ref="G1632:K1632" si="1713">IFERROR(G1622/G1596,"-")</f>
        <v>0.27155546098525385</v>
      </c>
      <c r="H1632" s="1">
        <f t="shared" si="1713"/>
        <v>0.2748683914843289</v>
      </c>
      <c r="I1632" s="1">
        <f t="shared" si="1713"/>
        <v>0.29254263986308204</v>
      </c>
      <c r="J1632" s="1">
        <f t="shared" si="1713"/>
        <v>0.3011307264082006</v>
      </c>
      <c r="K1632" s="1">
        <f t="shared" si="1713"/>
        <v>0.31266189264859306</v>
      </c>
      <c r="L1632" s="1">
        <f t="shared" ref="L1632" si="1714">IFERROR(L1622/L1596,"-")</f>
        <v>0.33841483371369668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0.17445873125089914</v>
      </c>
      <c r="G1633" s="1">
        <f t="shared" ref="G1633:K1633" si="1715">IFERROR(G1623/G1598,"-")</f>
        <v>0.17539269468511823</v>
      </c>
      <c r="H1633" s="1">
        <f t="shared" si="1715"/>
        <v>0.17576549128290603</v>
      </c>
      <c r="I1633" s="1">
        <f t="shared" si="1715"/>
        <v>0.18017815211400057</v>
      </c>
      <c r="J1633" s="1">
        <f t="shared" si="1715"/>
        <v>0.19406791294111389</v>
      </c>
      <c r="K1633" s="1">
        <f t="shared" si="1715"/>
        <v>0.19824702767015484</v>
      </c>
      <c r="L1633" s="1">
        <f t="shared" ref="L1633" si="1716">IFERROR(L1623/L1598,"-")</f>
        <v>0.21759086127944352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8.195366187166972E-2</v>
      </c>
      <c r="G1636" s="1">
        <f t="shared" ref="G1636:K1636" si="1721">IFERROR(G1626/G1611,"-")</f>
        <v>8.399621061566033E-2</v>
      </c>
      <c r="H1636" s="1">
        <f t="shared" si="1721"/>
        <v>8.7060033731646003E-2</v>
      </c>
      <c r="I1636" s="1">
        <f t="shared" si="1721"/>
        <v>8.7060033731645975E-2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0.11870351496053488</v>
      </c>
      <c r="G1637" s="1">
        <f t="shared" ref="G1637:K1637" si="1723">IFERROR(G1627/G1612,"-")</f>
        <v>0.11870351496053512</v>
      </c>
      <c r="H1637" s="1">
        <f t="shared" si="1723"/>
        <v>0.1187035149605353</v>
      </c>
      <c r="I1637" s="1">
        <f t="shared" si="1723"/>
        <v>0.11870351496053504</v>
      </c>
      <c r="J1637" s="1">
        <f t="shared" si="1723"/>
        <v>0.11870351496053502</v>
      </c>
      <c r="K1637" s="1">
        <f t="shared" si="1723"/>
        <v>0.11870351496053501</v>
      </c>
      <c r="L1637" s="1">
        <f t="shared" ref="L1637" si="1724">IFERROR(L1627/L1612,"-")</f>
        <v>0.11870351496053499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0.16346685209675804</v>
      </c>
      <c r="H1638" s="1">
        <f t="shared" si="1725"/>
        <v>0.16346685209675815</v>
      </c>
      <c r="I1638" s="1">
        <f t="shared" si="1725"/>
        <v>0.16346685209675801</v>
      </c>
      <c r="J1638" s="1">
        <f t="shared" si="1725"/>
        <v>0.16346685209675799</v>
      </c>
      <c r="K1638" s="1">
        <f t="shared" si="1725"/>
        <v>0.16346685209675779</v>
      </c>
      <c r="L1638" s="1">
        <f t="shared" ref="L1638" si="1726">IFERROR(L1628/L1613,"-")</f>
        <v>0.16346685209675785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0.10322365358776009</v>
      </c>
      <c r="G1639" s="1">
        <f t="shared" ref="G1639:K1639" si="1727">IFERROR(G1629/G1619,"-")</f>
        <v>0.10350753927943394</v>
      </c>
      <c r="H1639" s="1">
        <f t="shared" si="1727"/>
        <v>0.10461267559492789</v>
      </c>
      <c r="I1639" s="1">
        <f t="shared" si="1727"/>
        <v>0.1098645570064334</v>
      </c>
      <c r="J1639" s="1">
        <f t="shared" si="1727"/>
        <v>0.1154698540989543</v>
      </c>
      <c r="K1639" s="1">
        <f t="shared" si="1727"/>
        <v>0.11825622530512291</v>
      </c>
      <c r="L1639" s="1">
        <f t="shared" ref="L1639" si="1728">IFERROR(L1629/L1619,"-")</f>
        <v>0.12104868269193493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28.743255555562083</v>
      </c>
      <c r="G1640" s="1">
        <f t="shared" ref="G1640:K1640" si="1729">G1641+G1645+G1649+G1655</f>
        <v>27.889636092720753</v>
      </c>
      <c r="H1640" s="1">
        <f t="shared" si="1729"/>
        <v>27.091262832232147</v>
      </c>
      <c r="I1640" s="1">
        <f t="shared" si="1729"/>
        <v>25.163720239379224</v>
      </c>
      <c r="J1640" s="1">
        <f t="shared" si="1729"/>
        <v>27.017862013164986</v>
      </c>
      <c r="K1640" s="1">
        <f t="shared" si="1729"/>
        <v>24.353222945480816</v>
      </c>
      <c r="L1640" s="1">
        <f t="shared" ref="L1640" si="1730">L1641+L1645+L1649+L1655</f>
        <v>22.387490764662907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9.2070511298963744</v>
      </c>
      <c r="G1641" s="1">
        <f t="shared" ref="G1641:K1641" si="1733">SUM(G1642:G1644)</f>
        <v>9.531983149429303</v>
      </c>
      <c r="H1641" s="1">
        <f t="shared" si="1733"/>
        <v>10.020495411761253</v>
      </c>
      <c r="I1641" s="1">
        <f t="shared" si="1733"/>
        <v>11.802922946191748</v>
      </c>
      <c r="J1641" s="1">
        <f t="shared" si="1733"/>
        <v>13.658533220268364</v>
      </c>
      <c r="K1641" s="1">
        <f t="shared" si="1733"/>
        <v>16.719634609331838</v>
      </c>
      <c r="L1641" s="1">
        <f t="shared" ref="L1641" si="1734">SUM(L1642:L1644)</f>
        <v>20.254564427614099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10.478985139484244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11.17852857823766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12.362879813989839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1.5023311167954285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1.58982579247647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1.7436200827316508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1.893263601974257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1.9814031519012172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2.0281898557355329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2.1804215937550313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3.6251920101909453E-2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6.897387672524781E-2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1.1978493470414102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1.1981449288829016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3.5129161753586429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5.7112630198692269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9.0447117054834992E-5</v>
      </c>
      <c r="K1645" s="1">
        <f t="shared" si="1736"/>
        <v>9.0238397202550891E-2</v>
      </c>
      <c r="L1645" s="1">
        <f t="shared" ref="L1645" si="1737">SUM(L1646:L1648)</f>
        <v>9.0377001502015678E-2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1.167185634722287E-4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2.1289128535321978E-4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6.7684219368715194E-5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1.0870008037533302E-4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9.0447117054834992E-5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9.0053994419709946E-2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9.0055410136287123E-2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0.69710776583038736</v>
      </c>
      <c r="H1649" s="1">
        <f t="shared" si="1739"/>
        <v>6.0054928567409849E-2</v>
      </c>
      <c r="I1649" s="1">
        <f t="shared" si="1739"/>
        <v>5.9601476447950767E-2</v>
      </c>
      <c r="J1649" s="1">
        <f t="shared" si="1739"/>
        <v>8.3338946965499733E-2</v>
      </c>
      <c r="K1649" s="1">
        <f t="shared" si="1739"/>
        <v>0.1124212103263616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1.6634748446610594</v>
      </c>
      <c r="G1650" s="1">
        <f t="shared" ref="G1650:K1650" si="1742">G1649-G1651</f>
        <v>0.65894105078533749</v>
      </c>
      <c r="H1650" s="1">
        <f t="shared" si="1742"/>
        <v>5.6766721257933202E-2</v>
      </c>
      <c r="I1650" s="1">
        <f t="shared" si="1742"/>
        <v>5.4384484597368429E-2</v>
      </c>
      <c r="J1650" s="1">
        <f t="shared" si="1742"/>
        <v>7.6201342548900708E-2</v>
      </c>
      <c r="K1650" s="1">
        <f t="shared" si="1742"/>
        <v>4.8659647314337473E-2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9.6332919067298531E-2</v>
      </c>
      <c r="G1651" s="1">
        <f t="shared" ref="G1651:K1651" si="1744">SUM(G1652:G1653)</f>
        <v>3.8166715045049877E-2</v>
      </c>
      <c r="H1651" s="1">
        <f t="shared" si="1744"/>
        <v>3.2882073094766444E-3</v>
      </c>
      <c r="I1651" s="1">
        <f t="shared" si="1744"/>
        <v>5.2169918505823414E-3</v>
      </c>
      <c r="J1651" s="1">
        <f t="shared" si="1744"/>
        <v>7.1376044165990318E-3</v>
      </c>
      <c r="K1651" s="1">
        <f t="shared" si="1744"/>
        <v>6.3761563012024125E-2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9.6332919067298531E-2</v>
      </c>
      <c r="G1652" s="1">
        <f>[1]Transport!C$25/SUM([1]Transport!C$21,[1]Transport!C$25)*G1649*(G$35+G$600)/(G$35+G$600+G$39)</f>
        <v>3.8166715045049877E-2</v>
      </c>
      <c r="H1652" s="1">
        <f>[1]Transport!D$25/SUM([1]Transport!D$21,[1]Transport!D$25)*H1649*(H$35+H$600)/(H$35+H$600+H$39)</f>
        <v>3.2882073094766444E-3</v>
      </c>
      <c r="I1652" s="1">
        <f>[1]Transport!E$25/SUM([1]Transport!E$21,[1]Transport!E$25)*I1649*(I$35+I$600)/(I$35+I$600+I$39)</f>
        <v>5.2169918505823414E-3</v>
      </c>
      <c r="J1652" s="1">
        <f>[2]Transport!F$25/SUM([2]Transport!F$21,[2]Transport!F$25)*J1649*(J$35+J$600)/(J$35+J$600+J$39)</f>
        <v>7.1376044165990318E-3</v>
      </c>
      <c r="K1652" s="1">
        <f>[2]Transport!G$25/SUM([2]Transport!G$21,[2]Transport!G$25)*K1649*(K$35+K$600)/(K$35+K$600+K$39)</f>
        <v>5.1175403739829962E-2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1.2586159272194164E-2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0.69710776583038736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6.0054928567409849E-2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5.9601476447950767E-2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8.3338946965499733E-2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0.1124212103263616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17.776396661937351</v>
      </c>
      <c r="G1655" s="1">
        <f>[1]TRA_FuelByFleet!G$99</f>
        <v>17.660545177461064</v>
      </c>
      <c r="H1655" s="1">
        <f>[1]TRA_FuelByFleet!H$99</f>
        <v>17.010712491903483</v>
      </c>
      <c r="I1655" s="1">
        <f>[1]TRA_FuelByFleet!I$99</f>
        <v>13.301195816739526</v>
      </c>
      <c r="J1655" s="1">
        <f>[2]TRA_FuelByFleet!J$99</f>
        <v>13.275899398814069</v>
      </c>
      <c r="K1655" s="1">
        <f>[2]TRA_FuelByFleet!K$99</f>
        <v>7.4309287286200671</v>
      </c>
      <c r="L1655" s="1">
        <f>[2]TRA_FuelByFleet!L$99</f>
        <v>2.0425493355467919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17.347280520602677</v>
      </c>
      <c r="G1656" s="1">
        <f t="shared" ref="G1656:K1656" si="1746">G1655-G1657</f>
        <v>17.20011231275031</v>
      </c>
      <c r="H1656" s="1">
        <f t="shared" si="1746"/>
        <v>16.250579180207438</v>
      </c>
      <c r="I1656" s="1">
        <f t="shared" si="1746"/>
        <v>12.631848695661729</v>
      </c>
      <c r="J1656" s="1">
        <f t="shared" si="1746"/>
        <v>12.131095100107487</v>
      </c>
      <c r="K1656" s="1">
        <f t="shared" si="1746"/>
        <v>6.2464337869866462</v>
      </c>
      <c r="L1656" s="1">
        <f t="shared" ref="L1656" si="1747">L1655-L1657</f>
        <v>0.95729383961240111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0.42911614133467285</v>
      </c>
      <c r="G1657" s="1">
        <f t="shared" ref="G1657:K1657" si="1748">SUM(G1658:G1659)</f>
        <v>0.46043286471075512</v>
      </c>
      <c r="H1657" s="1">
        <f t="shared" si="1748"/>
        <v>0.76013331169604514</v>
      </c>
      <c r="I1657" s="1">
        <f t="shared" si="1748"/>
        <v>0.66934712107779692</v>
      </c>
      <c r="J1657" s="1">
        <f t="shared" si="1748"/>
        <v>1.1448042987065812</v>
      </c>
      <c r="K1657" s="1">
        <f t="shared" si="1748"/>
        <v>1.1844949416334214</v>
      </c>
      <c r="L1657" s="1">
        <f t="shared" ref="L1657" si="1749">SUM(L1658:L1659)</f>
        <v>1.0852554959343907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0.42911614133467285</v>
      </c>
      <c r="G1658" s="1">
        <f>[1]Transport!C$26/SUM([1]Transport!C$22,[1]Transport!C$26)*G1655*(G$34+G$582)/(G$34+G$582+G$38)</f>
        <v>0.46043286471075512</v>
      </c>
      <c r="H1658" s="1">
        <f>[1]Transport!D$26/SUM([1]Transport!D$22,[1]Transport!D$26)*H1655*(H$34+H$582)/(H$34+H$582+H$38)</f>
        <v>0.76013331169604514</v>
      </c>
      <c r="I1658" s="1">
        <f>[1]Transport!E$26/SUM([1]Transport!E$22,[1]Transport!E$26)*I1655*(I$34+I$582)/(I$34+I$582+I$38)</f>
        <v>0.66934712107779692</v>
      </c>
      <c r="J1658" s="1">
        <f>[2]Transport!F$26/SUM([2]Transport!F$22,[2]Transport!F$26)*J1655*(J$34+J$582)/(J$34+J$582+J$38)</f>
        <v>1.1448042987065812</v>
      </c>
      <c r="K1658" s="1">
        <f>[2]Transport!G$26/SUM([2]Transport!G$22,[2]Transport!G$26)*K1655*(K$34+K$582)/(K$34+K$582+K$38)</f>
        <v>1.1844949416334214</v>
      </c>
      <c r="L1658" s="1">
        <f>[2]Transport!H$26/SUM([2]Transport!H$22,[2]Transport!H$26)*L1655*(L$34+L$582)/(L$34+L$582+L$38)</f>
        <v>0.86509122234043268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0.22016427359395807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0.3959988556026412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0.27944352419467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1.1665279179039792E-2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5.0323164360419762E-3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3.4210165108909912E-4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8.8914270681636579E-5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17.381101653266395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16.999047212724442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13.296163500303484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13.27555729716298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7.4308398143493859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2.0425493355467919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30.629968186942101</v>
      </c>
      <c r="G1663" s="1">
        <f>IF([1]Transport!C$23+[1]Transport_Aviation_Intl!C$11&lt;0,0,[1]Transport!C$23+[1]Transport_Aviation_Intl!C$11)</f>
        <v>59.878833890333205</v>
      </c>
      <c r="H1663" s="1">
        <f>IF([1]Transport!D$23+[1]Transport_Aviation_Intl!D$11&lt;0,0,[1]Transport!D$23+[1]Transport_Aviation_Intl!D$11)</f>
        <v>82.48616337191919</v>
      </c>
      <c r="I1663" s="1">
        <f>IF([1]Transport!E$23+[1]Transport_Aviation_Intl!E$11&lt;0,0,[1]Transport!E$23+[1]Transport_Aviation_Intl!E$11)</f>
        <v>80.917097380072363</v>
      </c>
      <c r="J1663" s="1">
        <f>IF([2]Transport!F$23+[2]Transport_Aviation_Intl!F$11&lt;0,0,[2]Transport!F$23+[2]Transport_Aviation_Intl!F$11)</f>
        <v>72.682254099612663</v>
      </c>
      <c r="K1663" s="1">
        <f>IF([2]Transport!G$23+[2]Transport_Aviation_Intl!G$11&lt;0,0,[2]Transport!G$23+[2]Transport_Aviation_Intl!G$11)</f>
        <v>54.627395634530707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3.18368798889021E-5</v>
      </c>
      <c r="G1664" s="1">
        <f t="shared" si="1751"/>
        <v>1.16612611637865E-3</v>
      </c>
      <c r="H1664" s="1">
        <f t="shared" si="1751"/>
        <v>2.0389632265815898E-2</v>
      </c>
      <c r="I1664" s="1">
        <f t="shared" si="1751"/>
        <v>5.1518037090176705</v>
      </c>
      <c r="J1664" s="1">
        <f t="shared" si="1751"/>
        <v>5.1518037090176705</v>
      </c>
      <c r="K1664" s="1">
        <f t="shared" si="1751"/>
        <v>17.537906220005699</v>
      </c>
      <c r="L1664" s="1">
        <f t="shared" ref="L1664" si="1752">L36</f>
        <v>29.809739549718984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12.386102510988028</v>
      </c>
      <c r="K1665" s="1">
        <f t="shared" si="1753"/>
        <v>12.271833329713285</v>
      </c>
      <c r="L1665" s="1">
        <f t="shared" ref="L1665" si="1754">L40</f>
        <v>51.93662655064972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0.26464029372828612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0.28210271441651535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0.31153966218277768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2.5094987379160001E-2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2.6556501260762151E-2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2.9125486040344664E-2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3.1625136207197736E-2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3.3097422088981268E-2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3.3878948697269248E-2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3.642183255396237E-2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8.9447672425363403E-2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0.17018554365903499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2.9555630628087002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2.9557067347686501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8.5439129740705901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13.9686657332023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2.0941509037230134E-6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4.1130761064161244E-6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4.9388315245626618E-7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6.4503712801181386E-7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1.62214938196172E-4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0.16150988129621999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0.16151242035312499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0.63186703180042403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5.44345240705707E-2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5.4023509506064701E-2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7.5539444019442806E-2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0.101899964341543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1.6050126208400108E-3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1.1326052507447326E-3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4.7280238422628891E-5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2.0396350336963259E-5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1.3865632686554355E-6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3.6037610866231943E-7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17.1772175096601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16.7996446516999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13.1401965793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13.119832091452601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7.3436744296662297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2.0185897827889101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2.5254382004144271E-2</v>
      </c>
      <c r="K1678" s="7">
        <f t="shared" si="1758"/>
        <v>2.5236122307341274E-2</v>
      </c>
      <c r="L1678" s="7">
        <f t="shared" ref="L1678" si="1759">IFERROR(L1667/L1642,"-")</f>
        <v>2.5199602913735301E-2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1.6704032219401317E-2</v>
      </c>
      <c r="G1679" s="7">
        <f t="shared" si="1758"/>
        <v>1.6704032219401293E-2</v>
      </c>
      <c r="H1679" s="7">
        <f t="shared" si="1758"/>
        <v>1.6704032219401303E-2</v>
      </c>
      <c r="I1679" s="7">
        <f t="shared" si="1758"/>
        <v>1.6704032219401293E-2</v>
      </c>
      <c r="J1679" s="7">
        <f t="shared" si="1758"/>
        <v>1.6704032219401324E-2</v>
      </c>
      <c r="K1679" s="7">
        <f t="shared" si="1758"/>
        <v>1.6704032219401317E-2</v>
      </c>
      <c r="L1679" s="7">
        <f t="shared" ref="L1679" si="1760">IFERROR(L1668/L1643,"-")</f>
        <v>1.6704032219401296E-2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2.4673913043478222</v>
      </c>
      <c r="H1680">
        <f t="shared" si="1758"/>
        <v>2.4673913043478208</v>
      </c>
      <c r="I1680">
        <f t="shared" si="1758"/>
        <v>2.4673913043478288</v>
      </c>
      <c r="J1680">
        <f t="shared" si="1758"/>
        <v>2.4669025119727568</v>
      </c>
      <c r="K1680">
        <f t="shared" si="1758"/>
        <v>2.4321425697549754</v>
      </c>
      <c r="L1680">
        <f t="shared" ref="L1680" si="1761">IFERROR(L1669/L1644,"-")</f>
        <v>2.4458102672921807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1.7941883805152235E-2</v>
      </c>
      <c r="L1681">
        <f t="shared" ref="L1681" si="1763">IFERROR(L1670/L1646,"-")</f>
        <v>1.9320077379362387E-2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>
        <f t="shared" si="1762"/>
        <v>7.2968729943651747E-3</v>
      </c>
      <c r="L1682">
        <f t="shared" ref="L1682" si="1764">IFERROR(L1671/L1647,"-")</f>
        <v>5.9340998257273615E-3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1.7934782608695712</v>
      </c>
      <c r="K1683">
        <f t="shared" si="1762"/>
        <v>1.793478260869577</v>
      </c>
      <c r="L1683">
        <f t="shared" ref="L1683" si="1765">IFERROR(L1672/L1648,"-")</f>
        <v>1.7934782608695801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0.90641226905247674</v>
      </c>
      <c r="H1684" s="4">
        <f t="shared" si="1766"/>
        <v>0.90641226905248229</v>
      </c>
      <c r="I1684" s="4">
        <f t="shared" si="1766"/>
        <v>0.90641226905247496</v>
      </c>
      <c r="J1684" s="4">
        <f t="shared" si="1766"/>
        <v>0.90641226905247885</v>
      </c>
      <c r="K1684" s="4">
        <f t="shared" si="1766"/>
        <v>0.90641226905247541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4.0530738867855095E-3</v>
      </c>
      <c r="G1686" s="1">
        <f t="shared" si="1768"/>
        <v>4.0530738867855121E-3</v>
      </c>
      <c r="H1686">
        <f t="shared" si="1768"/>
        <v>4.0530738867855095E-3</v>
      </c>
      <c r="I1686">
        <f t="shared" si="1768"/>
        <v>4.0530738867855104E-3</v>
      </c>
      <c r="J1686">
        <f t="shared" si="1768"/>
        <v>4.0530738867855104E-3</v>
      </c>
      <c r="K1686">
        <f t="shared" si="1768"/>
        <v>4.0530738867855069E-3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0.98826978015124956</v>
      </c>
      <c r="H1687" s="4">
        <f t="shared" si="1768"/>
        <v>0.98826978015124978</v>
      </c>
      <c r="I1687" s="4">
        <f t="shared" si="1768"/>
        <v>0.98826978015125011</v>
      </c>
      <c r="J1687" s="4">
        <f t="shared" si="1768"/>
        <v>0.98826978015125155</v>
      </c>
      <c r="K1687" s="4">
        <f t="shared" si="1768"/>
        <v>0.98826978015125089</v>
      </c>
      <c r="L1687" s="4">
        <f t="shared" ref="L1687" si="1771">IFERROR(L1676/L1662,"-")</f>
        <v>0.98826978015125022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34.791239925424662</v>
      </c>
      <c r="G1688" s="3">
        <f t="shared" ref="G1688:K1688" si="1772">SUM(G1689:G1691,G1694:G1696,-G1701)</f>
        <v>32.425184415641013</v>
      </c>
      <c r="H1688" s="3">
        <f t="shared" si="1772"/>
        <v>30.148604276131366</v>
      </c>
      <c r="I1688" s="3">
        <f t="shared" si="1772"/>
        <v>20.853702526844884</v>
      </c>
      <c r="J1688" s="3">
        <f t="shared" si="1772"/>
        <v>14.779942870207616</v>
      </c>
      <c r="K1688" s="3">
        <f t="shared" si="1772"/>
        <v>8.4964985755580944</v>
      </c>
      <c r="L1688" s="3">
        <f t="shared" ref="L1688" si="1773">SUM(L1689:L1691,L1694:L1696,-L1701)</f>
        <v>2.167156499387676E-6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2.6390782885561186</v>
      </c>
      <c r="G1689" s="1">
        <f>[1]Summary!C53+[1]Summary!C59</f>
        <v>2.3501419505059524</v>
      </c>
      <c r="H1689" s="1">
        <f>[1]Summary!D53+[1]Summary!D59</f>
        <v>2.3519227038231567</v>
      </c>
      <c r="I1689" s="1">
        <f>[1]Summary!E53+[1]Summary!E59</f>
        <v>2.3549342218346063</v>
      </c>
      <c r="J1689" s="1">
        <f>[2]Summary!F53+[2]Summary!F59</f>
        <v>2.242207289816025</v>
      </c>
      <c r="K1689" s="1">
        <f>[2]Summary!G53+[2]Summary!G59</f>
        <v>1.1761910988977844</v>
      </c>
      <c r="L1689" s="1">
        <f>[2]Summary!H53+[2]Summary!H59</f>
        <v>-2.4772921352662141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-2.0274418746761529E-5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6.5106771036570681</v>
      </c>
      <c r="G1691" s="1">
        <f>[1]Summary!C55+[1]Summary!C60</f>
        <v>6.2606756884573871</v>
      </c>
      <c r="H1691" s="1">
        <f>[1]Summary!D55+[1]Summary!D60</f>
        <v>5.7153641632444092</v>
      </c>
      <c r="I1691" s="1">
        <f>[1]Summary!E55+[1]Summary!E60</f>
        <v>4.881655352714974</v>
      </c>
      <c r="J1691" s="1">
        <f>[2]Summary!F55+[2]Summary!F60</f>
        <v>4.1010439592083108</v>
      </c>
      <c r="K1691" s="1">
        <f>[2]Summary!G55+[2]Summary!G60</f>
        <v>3.2511765059527891</v>
      </c>
      <c r="L1691" s="1">
        <f>[2]Summary!H55+[2]Summary!H60</f>
        <v>1.5094891563775901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4.4213303031724287</v>
      </c>
      <c r="G1692" s="1">
        <f t="shared" ref="G1692:K1692" si="1778">G1691-G1693</f>
        <v>4.1496625185833071</v>
      </c>
      <c r="H1692" s="1">
        <f t="shared" si="1778"/>
        <v>3.6130946921831493</v>
      </c>
      <c r="I1692" s="1">
        <f t="shared" si="1778"/>
        <v>2.7879959197518041</v>
      </c>
      <c r="J1692" s="1">
        <f t="shared" si="1778"/>
        <v>2.0155074273562508</v>
      </c>
      <c r="K1692" s="1">
        <f t="shared" si="1778"/>
        <v>1.1740028928823945</v>
      </c>
      <c r="L1692" s="1">
        <f t="shared" ref="L1692" si="1779">L1691-L1693</f>
        <v>0.30339407478093294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2.0936594329631699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2.08553653185206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2.0771736130703946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1.2060950815966571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3.8057509330913097</v>
      </c>
      <c r="G1694" s="1">
        <f>[1]Summary!C56</f>
        <v>3.4442045735770996</v>
      </c>
      <c r="H1694" s="1">
        <f>[1]Summary!D56</f>
        <v>3.3593344913381098</v>
      </c>
      <c r="I1694" s="1">
        <f>[1]Summary!E56</f>
        <v>2.2581440813512401</v>
      </c>
      <c r="J1694" s="1">
        <f>[2]Summary!F56</f>
        <v>1.725618745454462</v>
      </c>
      <c r="K1694" s="1">
        <f>[2]Summary!G56</f>
        <v>1.000142637243352</v>
      </c>
      <c r="L1694" s="1">
        <f>[2]Summary!H56</f>
        <v>0.23620316578175687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7.2100943208689579</v>
      </c>
      <c r="G1695" s="1">
        <f>[1]Summary!C57</f>
        <v>6.4609055842147072</v>
      </c>
      <c r="H1695" s="1">
        <f>[1]Summary!D57</f>
        <v>6.3445985769164741</v>
      </c>
      <c r="I1695" s="1">
        <f>[1]Summary!E57</f>
        <v>3.981587075854168</v>
      </c>
      <c r="J1695" s="1">
        <f>[2]Summary!F57</f>
        <v>2.9287486167900503</v>
      </c>
      <c r="K1695" s="1">
        <f>[2]Summary!G57</f>
        <v>1.4917081736076971</v>
      </c>
      <c r="L1695" s="1">
        <f>[2]Summary!H57</f>
        <v>0.57033976634784256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14.625639279251208</v>
      </c>
      <c r="G1696" s="1">
        <f>[1]Summary!C58</f>
        <v>13.909256618885863</v>
      </c>
      <c r="H1696" s="1">
        <f>[1]Summary!D58</f>
        <v>12.377384340809217</v>
      </c>
      <c r="I1696" s="1">
        <f>[1]Summary!E58</f>
        <v>7.3773817950898968</v>
      </c>
      <c r="J1696" s="1">
        <f>[2]Summary!F58</f>
        <v>3.7823242589387691</v>
      </c>
      <c r="K1696" s="1">
        <f>[2]Summary!G58</f>
        <v>1.5772888620162293</v>
      </c>
      <c r="L1696" s="1">
        <f>[2]Summary!H58</f>
        <v>0.16131231150627867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1.2851774814218468</v>
      </c>
      <c r="L1697" s="1">
        <f>-[2]Summary!H59</f>
        <v>5.0302369140447567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0.32061703889375898</v>
      </c>
      <c r="L1698" s="1">
        <f>-[2]Summary!H60</f>
        <v>1.628588986507306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2.0274418746761529E-5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8.7021597576200382E-6</v>
      </c>
      <c r="L1701" s="1">
        <f>-[2]Summary!H63</f>
        <v>2.9823172007815505E-5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6.6588157470021088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3.4615395456377325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1.0555782244319676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2.1416979769324085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6.9929224334238998E-5</v>
      </c>
      <c r="L1707" s="1">
        <f t="shared" ref="L1707" si="1786">SUM(L1708:L1709)</f>
        <v>2.1722514024249999E-4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1.2066994863899801E-5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2.7139086527112083E-5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5.7862229470339197E-5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1.9008605371538791E-4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8.7021597576200382E-6</v>
      </c>
      <c r="L1710" s="1">
        <f t="shared" ref="L1710" si="1788">L1701</f>
        <v>2.9823172007815505E-5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966.15861054738957</v>
      </c>
      <c r="G1711" s="3">
        <f t="shared" ref="G1711:K1711" si="1789">SUM(G1712:G1713,G1730,G1739:G1740,G1741,G1742,G1747,G1750,,G1755:G1758,G1751)</f>
        <v>964.3480976237156</v>
      </c>
      <c r="H1711" s="3">
        <f t="shared" si="1789"/>
        <v>916.44483351942245</v>
      </c>
      <c r="I1711" s="3">
        <f t="shared" si="1789"/>
        <v>892.21411499393776</v>
      </c>
      <c r="J1711" s="3">
        <f t="shared" si="1789"/>
        <v>790.94408086934891</v>
      </c>
      <c r="K1711" s="3">
        <f t="shared" si="1789"/>
        <v>741.53352869689684</v>
      </c>
      <c r="L1711" s="3">
        <f t="shared" ref="L1711" si="1790">SUM(L1712:L1713,L1730,L1739:L1740,L1741,L1742,L1747,L1750,,L1755:L1758,L1751)</f>
        <v>735.90280636510784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3.6601882141811259</v>
      </c>
      <c r="G1712" s="1">
        <f t="shared" si="1792"/>
        <v>3.5647660482432162</v>
      </c>
      <c r="H1712" s="1">
        <f t="shared" si="1792"/>
        <v>0.15596099168927152</v>
      </c>
      <c r="I1712" s="1">
        <f t="shared" si="1792"/>
        <v>4.6208376640515239E-3</v>
      </c>
      <c r="J1712" s="1">
        <f t="shared" si="1792"/>
        <v>4.6511613424303957E-3</v>
      </c>
      <c r="K1712" s="1">
        <f t="shared" si="1792"/>
        <v>5.0060000689233861E-4</v>
      </c>
      <c r="L1712" s="1">
        <f t="shared" ref="L1712" si="1793">L21</f>
        <v>8.3625798899730668E-6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311.19204139929144</v>
      </c>
      <c r="G1713" s="1">
        <f t="shared" si="1792"/>
        <v>286.59565245584537</v>
      </c>
      <c r="H1713" s="1">
        <f t="shared" si="1792"/>
        <v>260.17311711540322</v>
      </c>
      <c r="I1713" s="1">
        <f t="shared" si="1792"/>
        <v>158.41676724599998</v>
      </c>
      <c r="J1713" s="1">
        <f t="shared" si="1792"/>
        <v>107.82297478975913</v>
      </c>
      <c r="K1713" s="1">
        <f t="shared" si="1792"/>
        <v>73.460664508014744</v>
      </c>
      <c r="L1713" s="1">
        <f t="shared" ref="L1713" si="1797">L22</f>
        <v>85.957793569605272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305.33109084662027</v>
      </c>
      <c r="G1714" s="1">
        <f t="shared" si="1792"/>
        <v>280.7364963933216</v>
      </c>
      <c r="H1714" s="1">
        <f t="shared" si="1792"/>
        <v>254.31385051000939</v>
      </c>
      <c r="I1714" s="1">
        <f t="shared" si="1792"/>
        <v>148.06345464879749</v>
      </c>
      <c r="J1714" s="1">
        <f t="shared" si="1792"/>
        <v>85.662574892481416</v>
      </c>
      <c r="K1714" s="1">
        <f t="shared" si="1792"/>
        <v>37.752114450404335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102.14686482660032</v>
      </c>
      <c r="G1715" s="1">
        <f t="shared" si="1792"/>
        <v>88.232629849963274</v>
      </c>
      <c r="H1715" s="1">
        <f t="shared" si="1792"/>
        <v>86.025824283526873</v>
      </c>
      <c r="I1715" s="1">
        <f t="shared" si="1792"/>
        <v>47.723315078576853</v>
      </c>
      <c r="J1715" s="1">
        <f t="shared" si="1792"/>
        <v>34.201740938514433</v>
      </c>
      <c r="K1715" s="1">
        <f t="shared" si="1792"/>
        <v>16.955653089462977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2.7765248325854821</v>
      </c>
      <c r="G1716" s="1">
        <f t="shared" si="1792"/>
        <v>2.7643673663297474</v>
      </c>
      <c r="H1716" s="1">
        <f t="shared" si="1792"/>
        <v>4.8276246552936893E-2</v>
      </c>
      <c r="I1716" s="1">
        <f t="shared" si="1792"/>
        <v>4.6215869532633732E-3</v>
      </c>
      <c r="J1716" s="1">
        <f t="shared" si="1792"/>
        <v>7.1151622481693136E-3</v>
      </c>
      <c r="K1716" s="1">
        <f t="shared" si="1792"/>
        <v>4.9387379504808534E-4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121.89424816293706</v>
      </c>
      <c r="G1717" s="1">
        <f t="shared" si="1792"/>
        <v>112.68574983712354</v>
      </c>
      <c r="H1717" s="1">
        <f t="shared" si="1792"/>
        <v>95.48232651826433</v>
      </c>
      <c r="I1717" s="1">
        <f t="shared" si="1792"/>
        <v>56.806864888603791</v>
      </c>
      <c r="J1717" s="1">
        <f t="shared" si="1792"/>
        <v>31.97732848277191</v>
      </c>
      <c r="K1717" s="1">
        <f t="shared" si="1792"/>
        <v>15.913270204032933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77.404073620847043</v>
      </c>
      <c r="G1718" s="1">
        <f t="shared" si="1792"/>
        <v>75.649647193300396</v>
      </c>
      <c r="H1718" s="1">
        <f t="shared" si="1792"/>
        <v>70.929145538586567</v>
      </c>
      <c r="I1718" s="1">
        <f t="shared" si="1792"/>
        <v>41.082883194158065</v>
      </c>
      <c r="J1718" s="1">
        <f t="shared" si="1792"/>
        <v>16.891886759322894</v>
      </c>
      <c r="K1718" s="1">
        <f t="shared" si="1792"/>
        <v>2.7337661333351373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1.1093794036503803</v>
      </c>
      <c r="G1719" s="1">
        <f t="shared" si="1792"/>
        <v>1.4041021466046504</v>
      </c>
      <c r="H1719" s="1">
        <f t="shared" si="1792"/>
        <v>1.8282779230786981</v>
      </c>
      <c r="I1719" s="1">
        <f t="shared" si="1792"/>
        <v>2.4457699005055282</v>
      </c>
      <c r="J1719" s="1">
        <f t="shared" si="1792"/>
        <v>2.5845035496240074</v>
      </c>
      <c r="K1719" s="1">
        <f t="shared" si="1792"/>
        <v>2.1489311497782335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5.8609505526711647</v>
      </c>
      <c r="G1720" s="1">
        <f t="shared" si="1792"/>
        <v>5.859156062523784</v>
      </c>
      <c r="H1720" s="1">
        <f t="shared" si="1792"/>
        <v>5.8592666053938247</v>
      </c>
      <c r="I1720" s="1">
        <f t="shared" si="1792"/>
        <v>10.353312597202482</v>
      </c>
      <c r="J1720" s="1">
        <f t="shared" si="1792"/>
        <v>22.160399897277713</v>
      </c>
      <c r="K1720" s="1">
        <f t="shared" si="1792"/>
        <v>35.70855005761041</v>
      </c>
      <c r="L1720" s="1">
        <f t="shared" ref="L1720" si="1804">L29</f>
        <v>85.957793569605272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2.8760568952153025</v>
      </c>
      <c r="G1721" s="1">
        <f t="shared" si="1792"/>
        <v>1.8135911085892917</v>
      </c>
      <c r="H1721" s="1">
        <f t="shared" si="1792"/>
        <v>3.2681377156991562</v>
      </c>
      <c r="I1721" s="1">
        <f t="shared" si="1792"/>
        <v>3.2465039351268459</v>
      </c>
      <c r="J1721" s="1">
        <f t="shared" si="1792"/>
        <v>3.0405562907051511</v>
      </c>
      <c r="K1721" s="1">
        <f t="shared" si="1792"/>
        <v>3.0349604616520978</v>
      </c>
      <c r="L1721" s="1">
        <f t="shared" ref="L1721" si="1805">L30</f>
        <v>4.1401946338465336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2.9848618205759734</v>
      </c>
      <c r="G1722" s="1">
        <f t="shared" si="1792"/>
        <v>4.0443988278181138</v>
      </c>
      <c r="H1722" s="1">
        <f t="shared" si="1792"/>
        <v>2.570739257428853</v>
      </c>
      <c r="I1722" s="1">
        <f t="shared" si="1792"/>
        <v>1.9550049530579647</v>
      </c>
      <c r="J1722" s="1">
        <f t="shared" si="1792"/>
        <v>1.5819373865668636</v>
      </c>
      <c r="K1722" s="1">
        <f t="shared" si="1792"/>
        <v>2.863850046239325</v>
      </c>
      <c r="L1722" s="1">
        <f t="shared" ref="L1722" si="1806">L31</f>
        <v>7.1232835390029822E-2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5.8609505526711647</v>
      </c>
      <c r="G1723" s="1">
        <f t="shared" si="1807"/>
        <v>5.859156062523784</v>
      </c>
      <c r="H1723" s="1">
        <f t="shared" si="1807"/>
        <v>5.8592666053938247</v>
      </c>
      <c r="I1723" s="1">
        <f t="shared" si="1807"/>
        <v>10.353312597202482</v>
      </c>
      <c r="J1723" s="1">
        <f t="shared" si="1807"/>
        <v>9.7742973862896854</v>
      </c>
      <c r="K1723" s="1">
        <f t="shared" si="1807"/>
        <v>23.436716727897121</v>
      </c>
      <c r="L1723" s="1">
        <f t="shared" ref="L1723" si="1808">L33</f>
        <v>33.149110100808173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2.8760568952153025</v>
      </c>
      <c r="G1724" s="1">
        <f t="shared" si="1807"/>
        <v>1.8135911085892917</v>
      </c>
      <c r="H1724" s="1">
        <f t="shared" si="1807"/>
        <v>3.2681377156991562</v>
      </c>
      <c r="I1724" s="1">
        <f t="shared" si="1807"/>
        <v>3.2465039351268459</v>
      </c>
      <c r="J1724" s="1">
        <f t="shared" si="1807"/>
        <v>3.0405562907051511</v>
      </c>
      <c r="K1724" s="1">
        <f t="shared" si="1807"/>
        <v>3.0349604616520978</v>
      </c>
      <c r="L1724" s="1">
        <f t="shared" ref="L1724" si="1809">L34</f>
        <v>3.2681377156991562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2.9848618205759734</v>
      </c>
      <c r="G1725" s="1">
        <f t="shared" si="1807"/>
        <v>4.0443988278181138</v>
      </c>
      <c r="H1725" s="1">
        <f t="shared" si="1807"/>
        <v>2.570739257428853</v>
      </c>
      <c r="I1725" s="1">
        <f t="shared" si="1807"/>
        <v>1.9550049530579647</v>
      </c>
      <c r="J1725" s="1">
        <f t="shared" si="1807"/>
        <v>1.5819373865668636</v>
      </c>
      <c r="K1725" s="1">
        <f t="shared" si="1807"/>
        <v>2.863850046239325</v>
      </c>
      <c r="L1725" s="1">
        <f t="shared" ref="L1725" si="1810">L35</f>
        <v>7.1232835390029822E-2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12.386102510988028</v>
      </c>
      <c r="K1726" s="1">
        <f t="shared" si="1811"/>
        <v>12.271833329713285</v>
      </c>
      <c r="L1726" s="1">
        <f t="shared" ref="L1726" si="1812">L37</f>
        <v>52.808683468797099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0.8720569181473774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12.386102510988028</v>
      </c>
      <c r="K1729" s="1">
        <f t="shared" si="1811"/>
        <v>12.271833329713285</v>
      </c>
      <c r="L1729" s="1">
        <f t="shared" ref="L1729" si="1815">L40</f>
        <v>51.93662655064972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118.81618615236589</v>
      </c>
      <c r="G1730" s="1">
        <f t="shared" si="1811"/>
        <v>106.72179597074525</v>
      </c>
      <c r="H1730" s="1">
        <f t="shared" si="1811"/>
        <v>106.23083898984014</v>
      </c>
      <c r="I1730" s="1">
        <f t="shared" si="1811"/>
        <v>79.110953288860841</v>
      </c>
      <c r="J1730" s="1">
        <f t="shared" si="1811"/>
        <v>57.170651267636721</v>
      </c>
      <c r="K1730" s="1">
        <f t="shared" si="1811"/>
        <v>16.740633864996894</v>
      </c>
      <c r="L1730" s="1">
        <f t="shared" ref="L1730" si="1816">L41</f>
        <v>4.5012325220219205E-4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118.81618615236589</v>
      </c>
      <c r="G1731" s="1">
        <f t="shared" si="1811"/>
        <v>106.72001471923431</v>
      </c>
      <c r="H1731" s="1">
        <f t="shared" si="1811"/>
        <v>106.22916669823748</v>
      </c>
      <c r="I1731" s="1">
        <f t="shared" si="1811"/>
        <v>78.583730394163766</v>
      </c>
      <c r="J1731" s="1">
        <f t="shared" si="1811"/>
        <v>55.891197188134512</v>
      </c>
      <c r="K1731" s="1">
        <f t="shared" si="1811"/>
        <v>16.738951408514634</v>
      </c>
      <c r="L1731" s="1">
        <f t="shared" ref="L1731" si="1817">L42</f>
        <v>2.8432714456837342E-5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118.81618615236589</v>
      </c>
      <c r="G1732" s="1">
        <f t="shared" si="1811"/>
        <v>106.72001471923431</v>
      </c>
      <c r="H1732" s="1">
        <f t="shared" si="1811"/>
        <v>106.22916669823748</v>
      </c>
      <c r="I1732" s="1">
        <f t="shared" si="1811"/>
        <v>78.53998988218585</v>
      </c>
      <c r="J1732" s="1">
        <f t="shared" si="1811"/>
        <v>55.885155641175182</v>
      </c>
      <c r="K1732" s="1">
        <f t="shared" si="1811"/>
        <v>16.734606214050988</v>
      </c>
      <c r="L1732" s="1">
        <f t="shared" ref="L1732" si="1818">L43</f>
        <v>7.110300258726386E-6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4.3740511977914093E-2</v>
      </c>
      <c r="J1733" s="1">
        <f t="shared" si="1811"/>
        <v>6.0415469593299133E-3</v>
      </c>
      <c r="K1733" s="1">
        <f t="shared" si="1811"/>
        <v>4.3451944636472206E-3</v>
      </c>
      <c r="L1733" s="1">
        <f t="shared" ref="L1733" si="1819">L44</f>
        <v>2.1322414198110956E-5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1.7812515109373096E-3</v>
      </c>
      <c r="H1734" s="1">
        <f t="shared" si="1811"/>
        <v>1.6722916026538155E-3</v>
      </c>
      <c r="I1734" s="1">
        <f t="shared" si="1811"/>
        <v>0.5272228946970724</v>
      </c>
      <c r="J1734" s="1">
        <f t="shared" si="1811"/>
        <v>1.2794540795022096</v>
      </c>
      <c r="K1734" s="1">
        <f t="shared" si="1811"/>
        <v>1.6824564822599929E-3</v>
      </c>
      <c r="L1734" s="1">
        <f t="shared" ref="L1734" si="1820">L45</f>
        <v>4.2169053774535471E-4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1.7812515109373096E-3</v>
      </c>
      <c r="H1735" s="1">
        <f t="shared" si="1811"/>
        <v>1.6722916026538155E-3</v>
      </c>
      <c r="I1735" s="1">
        <f t="shared" si="1811"/>
        <v>0.5272228946970724</v>
      </c>
      <c r="J1735" s="1">
        <f t="shared" si="1811"/>
        <v>0.5272228946970724</v>
      </c>
      <c r="K1735" s="1">
        <f t="shared" si="1811"/>
        <v>1.6824564822599929E-3</v>
      </c>
      <c r="L1735" s="1">
        <f t="shared" ref="L1735" si="1821">L46</f>
        <v>4.2169053774535471E-4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1.7812515109373096E-3</v>
      </c>
      <c r="H1736" s="1">
        <f t="shared" si="1811"/>
        <v>1.6722916026538155E-3</v>
      </c>
      <c r="I1736" s="1">
        <f t="shared" si="1811"/>
        <v>0.5272228946970724</v>
      </c>
      <c r="J1736" s="1">
        <f t="shared" si="1811"/>
        <v>0.5272228946970724</v>
      </c>
      <c r="K1736" s="1">
        <f t="shared" si="1811"/>
        <v>1.6824564822599929E-3</v>
      </c>
      <c r="L1736" s="1">
        <f t="shared" ref="L1736" si="1822">L47</f>
        <v>4.2169053774535471E-4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0.75223118480513718</v>
      </c>
      <c r="K1737" s="1">
        <f t="shared" si="1811"/>
        <v>0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0.75223118480513718</v>
      </c>
      <c r="K1738" s="1">
        <f t="shared" si="1811"/>
        <v>0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250.9487170795704</v>
      </c>
      <c r="G1739" s="1">
        <f t="shared" si="1811"/>
        <v>253.29674232384011</v>
      </c>
      <c r="H1739" s="1">
        <f t="shared" si="1811"/>
        <v>233.18388719099895</v>
      </c>
      <c r="I1739" s="1">
        <f t="shared" si="1811"/>
        <v>211.82169140682569</v>
      </c>
      <c r="J1739" s="1">
        <f t="shared" si="1811"/>
        <v>167.60312820269226</v>
      </c>
      <c r="K1739" s="1">
        <f t="shared" si="1811"/>
        <v>98.945517737745703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-20.010090782514297</v>
      </c>
      <c r="G1740" s="1">
        <f t="shared" si="1826"/>
        <v>15.400165557285618</v>
      </c>
      <c r="H1740" s="1">
        <f t="shared" si="1826"/>
        <v>-21.503695917221677</v>
      </c>
      <c r="I1740" s="1">
        <f t="shared" si="1826"/>
        <v>-1.9997777203666089</v>
      </c>
      <c r="J1740" s="1">
        <f t="shared" si="1826"/>
        <v>23.650635023020008</v>
      </c>
      <c r="K1740" s="1">
        <f t="shared" si="1826"/>
        <v>-1.9999930560860939</v>
      </c>
      <c r="L1740" s="1">
        <f t="shared" ref="L1740" si="1827">-L58+L51</f>
        <v>-2.0000014900408765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1.4086001574231739E-5</v>
      </c>
      <c r="L1741" s="1">
        <f t="shared" ref="L1741" si="1829">L56</f>
        <v>1.3243397891127236E-5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46.334115216000257</v>
      </c>
      <c r="G1742" s="1">
        <f t="shared" si="1830"/>
        <v>50.490587884073356</v>
      </c>
      <c r="H1742" s="1">
        <f t="shared" si="1830"/>
        <v>53.544916746486351</v>
      </c>
      <c r="I1742" s="1">
        <f t="shared" si="1830"/>
        <v>53.546451685739477</v>
      </c>
      <c r="J1742" s="1">
        <f t="shared" si="1830"/>
        <v>53.482439355325255</v>
      </c>
      <c r="K1742" s="1">
        <f t="shared" si="1830"/>
        <v>56.302273543907553</v>
      </c>
      <c r="L1742" s="1">
        <f t="shared" ref="L1742" si="1831">L3</f>
        <v>56.302288959620626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11.111976141568594</v>
      </c>
      <c r="G1743" s="1">
        <f t="shared" si="1830"/>
        <v>11.952923578006255</v>
      </c>
      <c r="H1743" s="1">
        <f t="shared" si="1830"/>
        <v>13.357213022457403</v>
      </c>
      <c r="I1743" s="1">
        <f t="shared" si="1830"/>
        <v>15.656186912610261</v>
      </c>
      <c r="J1743" s="1">
        <f t="shared" si="1830"/>
        <v>16.424570371013104</v>
      </c>
      <c r="K1743" s="1">
        <f t="shared" si="1830"/>
        <v>17.113644049677017</v>
      </c>
      <c r="L1743" s="1">
        <f t="shared" ref="L1743" si="1832">L4</f>
        <v>18.429673853363411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7.5117708343997647</v>
      </c>
      <c r="G1744" s="1">
        <f t="shared" si="1830"/>
        <v>7.5431833211157198</v>
      </c>
      <c r="H1744" s="1">
        <f t="shared" si="1830"/>
        <v>7.5903684650464012</v>
      </c>
      <c r="I1744" s="1">
        <f t="shared" si="1830"/>
        <v>7.6690331077722877</v>
      </c>
      <c r="J1744" s="1">
        <f t="shared" si="1830"/>
        <v>7.6690275991777703</v>
      </c>
      <c r="K1744" s="1">
        <f t="shared" si="1830"/>
        <v>7.669028643981771</v>
      </c>
      <c r="L1744" s="1">
        <f t="shared" ref="L1744" si="1833">L5</f>
        <v>7.6690296816807875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3.1683463948340496</v>
      </c>
      <c r="G1745" s="1">
        <f t="shared" si="1830"/>
        <v>3.4957144759587795</v>
      </c>
      <c r="H1745" s="1">
        <f t="shared" si="1830"/>
        <v>3.9868298124432071</v>
      </c>
      <c r="I1745" s="1">
        <f t="shared" si="1830"/>
        <v>4.805389453080994</v>
      </c>
      <c r="J1745" s="1">
        <f t="shared" si="1830"/>
        <v>4.8053864134363575</v>
      </c>
      <c r="K1745" s="1">
        <f t="shared" si="1830"/>
        <v>4.8053877458874314</v>
      </c>
      <c r="L1745" s="1">
        <f t="shared" ref="L1745" si="1834">L6</f>
        <v>4.80538666467422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24.542021845197844</v>
      </c>
      <c r="G1746" s="1">
        <f t="shared" si="1830"/>
        <v>27.498766508992603</v>
      </c>
      <c r="H1746" s="1">
        <f t="shared" si="1830"/>
        <v>28.610505446539335</v>
      </c>
      <c r="I1746" s="1">
        <f t="shared" si="1830"/>
        <v>25.415842212275933</v>
      </c>
      <c r="J1746" s="1">
        <f t="shared" si="1830"/>
        <v>24.583454971698021</v>
      </c>
      <c r="K1746" s="1">
        <f t="shared" si="1830"/>
        <v>26.714213104361335</v>
      </c>
      <c r="L1746" s="1">
        <f t="shared" ref="L1746" si="1835">L7</f>
        <v>25.398198759902204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70.032086744262159</v>
      </c>
      <c r="G1747" s="1">
        <f t="shared" si="1830"/>
        <v>71.224290096672604</v>
      </c>
      <c r="H1747" s="1">
        <f t="shared" si="1830"/>
        <v>71.066649647055769</v>
      </c>
      <c r="I1747" s="1">
        <f t="shared" si="1830"/>
        <v>74.271072997039468</v>
      </c>
      <c r="J1747" s="1">
        <f t="shared" si="1830"/>
        <v>72.300530688782999</v>
      </c>
      <c r="K1747" s="1">
        <f t="shared" si="1830"/>
        <v>79.19569908143373</v>
      </c>
      <c r="L1747" s="1">
        <f t="shared" ref="L1747" si="1836">L8</f>
        <v>82.747544756099273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35.931415647284581</v>
      </c>
      <c r="G1748" s="1">
        <f t="shared" si="1830"/>
        <v>36.121600754240653</v>
      </c>
      <c r="H1748" s="1">
        <f t="shared" si="1830"/>
        <v>35.963639011507908</v>
      </c>
      <c r="I1748" s="1">
        <f t="shared" si="1830"/>
        <v>37.032765660388442</v>
      </c>
      <c r="J1748" s="1">
        <f t="shared" si="1830"/>
        <v>34.937592519263241</v>
      </c>
      <c r="K1748" s="1">
        <f t="shared" si="1830"/>
        <v>38.08249021703854</v>
      </c>
      <c r="L1748" s="1">
        <f t="shared" ref="L1748" si="1837">L9</f>
        <v>38.141195034080624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34.100671096977578</v>
      </c>
      <c r="G1749" s="1">
        <f t="shared" si="1830"/>
        <v>35.102689342431958</v>
      </c>
      <c r="H1749" s="1">
        <f t="shared" si="1830"/>
        <v>35.103010635547861</v>
      </c>
      <c r="I1749" s="1">
        <f t="shared" si="1830"/>
        <v>37.238307336651026</v>
      </c>
      <c r="J1749" s="1">
        <f t="shared" si="1830"/>
        <v>37.362938169519751</v>
      </c>
      <c r="K1749" s="1">
        <f t="shared" si="1830"/>
        <v>41.11320886439519</v>
      </c>
      <c r="L1749" s="1">
        <f t="shared" ref="L1749" si="1838">L10</f>
        <v>44.606349722018656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3.7982918878914633</v>
      </c>
      <c r="G1750" s="1">
        <f t="shared" si="1830"/>
        <v>12.540359083790694</v>
      </c>
      <c r="H1750" s="1">
        <f t="shared" si="1830"/>
        <v>12.540421416964007</v>
      </c>
      <c r="I1750" s="1">
        <f t="shared" si="1830"/>
        <v>12.540431121177249</v>
      </c>
      <c r="J1750" s="1">
        <f t="shared" si="1830"/>
        <v>12.540446443787125</v>
      </c>
      <c r="K1750" s="1">
        <f t="shared" si="1830"/>
        <v>17.360288855860276</v>
      </c>
      <c r="L1750" s="1">
        <f t="shared" ref="L1750" si="1839">L11</f>
        <v>18.812777150189913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149.43060968985017</v>
      </c>
      <c r="G1751" s="1">
        <f t="shared" si="1830"/>
        <v>125.65124522840297</v>
      </c>
      <c r="H1751" s="1">
        <f t="shared" si="1830"/>
        <v>137.72924305395776</v>
      </c>
      <c r="I1751" s="1">
        <f t="shared" si="1830"/>
        <v>191.68914738393363</v>
      </c>
      <c r="J1751" s="1">
        <f t="shared" si="1830"/>
        <v>152.65341380289209</v>
      </c>
      <c r="K1751" s="1">
        <f t="shared" si="1830"/>
        <v>155.38621037136974</v>
      </c>
      <c r="L1751" s="1">
        <f t="shared" ref="L1751" si="1840">L12</f>
        <v>159.52601022338501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66.745681606063101</v>
      </c>
      <c r="G1752" s="1">
        <f t="shared" si="1841"/>
        <v>49.798777987808691</v>
      </c>
      <c r="H1752" s="1">
        <f t="shared" si="1841"/>
        <v>68.970400584037336</v>
      </c>
      <c r="I1752" s="1">
        <f t="shared" si="1841"/>
        <v>70.970232393460137</v>
      </c>
      <c r="J1752" s="1">
        <f t="shared" si="1841"/>
        <v>72.614680964563476</v>
      </c>
      <c r="K1752" s="1">
        <f t="shared" si="1841"/>
        <v>73.883720214170353</v>
      </c>
      <c r="L1752" s="1">
        <f t="shared" ref="L1752" si="1842">L13</f>
        <v>74.836063035420736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66.632430866657671</v>
      </c>
      <c r="G1753" s="1">
        <f t="shared" si="1841"/>
        <v>55.764055694378619</v>
      </c>
      <c r="H1753" s="1">
        <f t="shared" si="1841"/>
        <v>65.677217745587797</v>
      </c>
      <c r="I1753" s="1">
        <f t="shared" si="1841"/>
        <v>64.853740316850036</v>
      </c>
      <c r="J1753" s="1">
        <f t="shared" si="1841"/>
        <v>63.871732700338775</v>
      </c>
      <c r="K1753" s="1">
        <f t="shared" si="1841"/>
        <v>64.430908432464136</v>
      </c>
      <c r="L1753" s="1">
        <f t="shared" ref="L1753" si="1843">L14</f>
        <v>67.134967183378762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16.052497217129396</v>
      </c>
      <c r="G1754" s="1">
        <f t="shared" si="1841"/>
        <v>20.088411546215649</v>
      </c>
      <c r="H1754" s="1">
        <f t="shared" si="1841"/>
        <v>3.0816247243326447</v>
      </c>
      <c r="I1754" s="1">
        <f t="shared" si="1841"/>
        <v>55.865174673623464</v>
      </c>
      <c r="J1754" s="1">
        <f t="shared" si="1841"/>
        <v>16.167000137989838</v>
      </c>
      <c r="K1754" s="1">
        <f t="shared" si="1841"/>
        <v>17.071581724735235</v>
      </c>
      <c r="L1754" s="1">
        <f t="shared" ref="L1754" si="1844">L15</f>
        <v>17.554980004585513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12.557136404926036</v>
      </c>
      <c r="G1755" s="1">
        <f t="shared" si="1841"/>
        <v>16.525178250020552</v>
      </c>
      <c r="H1755" s="1">
        <f t="shared" si="1841"/>
        <v>30.421478522021395</v>
      </c>
      <c r="I1755" s="1">
        <f t="shared" si="1841"/>
        <v>56.344572823422311</v>
      </c>
      <c r="J1755" s="1">
        <f t="shared" si="1841"/>
        <v>68.857696295888175</v>
      </c>
      <c r="K1755" s="1">
        <f t="shared" si="1841"/>
        <v>143.29870718066823</v>
      </c>
      <c r="L1755" s="1">
        <f t="shared" ref="L1755" si="1845">L16</f>
        <v>155.91985444185846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0.52448853879067292</v>
      </c>
      <c r="G1756" s="1">
        <f t="shared" si="1841"/>
        <v>0.54536871651479635</v>
      </c>
      <c r="H1756" s="1">
        <f t="shared" si="1841"/>
        <v>0.50324133458982423</v>
      </c>
      <c r="I1756" s="1">
        <f t="shared" si="1841"/>
        <v>2.0507563360817489</v>
      </c>
      <c r="J1756" s="1">
        <f t="shared" si="1841"/>
        <v>3.6359887726465985</v>
      </c>
      <c r="K1756" s="1">
        <f t="shared" si="1841"/>
        <v>7.199416572488949</v>
      </c>
      <c r="L1756" s="1">
        <f t="shared" ref="L1756" si="1846">L17</f>
        <v>28.866731550359184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18.874840002774317</v>
      </c>
      <c r="G1757" s="1">
        <f t="shared" si="1841"/>
        <v>21.791946008281279</v>
      </c>
      <c r="H1757" s="1">
        <f t="shared" si="1841"/>
        <v>32.398774427637392</v>
      </c>
      <c r="I1757" s="1">
        <f t="shared" si="1841"/>
        <v>54.41742758755997</v>
      </c>
      <c r="J1757" s="1">
        <f t="shared" si="1841"/>
        <v>71.221525065576216</v>
      </c>
      <c r="K1757" s="1">
        <f t="shared" si="1841"/>
        <v>87.85822406796801</v>
      </c>
      <c r="L1757" s="1">
        <f t="shared" ref="L1757" si="1847">L18</f>
        <v>100.0427891253016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7.7853712825206234</v>
      </c>
      <c r="L1758" s="1">
        <f t="shared" ref="L1758" si="1848">L19</f>
        <v>49.726546349499358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22.548961512890049</v>
      </c>
      <c r="G1759" s="3">
        <f t="shared" si="1849"/>
        <v>24.552804935690613</v>
      </c>
      <c r="H1759" s="3">
        <f t="shared" si="1849"/>
        <v>29.951038680327613</v>
      </c>
      <c r="I1759" s="3">
        <f t="shared" si="1849"/>
        <v>36.167968050560745</v>
      </c>
      <c r="J1759" s="3">
        <f t="shared" si="1849"/>
        <v>39.873846529709233</v>
      </c>
      <c r="K1759" s="3">
        <f t="shared" si="1849"/>
        <v>63.446042639491509</v>
      </c>
      <c r="L1759" s="3">
        <f t="shared" ref="L1759" si="1850">SUM(L1760,L1762,L1766,L1770,L1786,L1793,L1801,L1803,L1811,L1815,L1809)</f>
        <v>71.129021443643737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3.0805574440748962</v>
      </c>
      <c r="G1760" s="1">
        <f t="shared" ref="G1760:L1760" si="1851">+G1761</f>
        <v>3.0805512918717244</v>
      </c>
      <c r="H1760" s="1">
        <f t="shared" si="1851"/>
        <v>2.8402357421350652</v>
      </c>
      <c r="I1760" s="1">
        <f t="shared" si="1851"/>
        <v>2.6090378441108784</v>
      </c>
      <c r="J1760" s="1">
        <f t="shared" si="1851"/>
        <v>2.0753299133498935</v>
      </c>
      <c r="K1760" s="1">
        <f t="shared" si="1851"/>
        <v>1.2356853945682451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3.0805574440748962</v>
      </c>
      <c r="G1761" s="1">
        <f>'[1]Electricity and CHPs_CAP'!C$14</f>
        <v>3.0805512918717244</v>
      </c>
      <c r="H1761" s="1">
        <f>'[1]Electricity and CHPs_CAP'!D$14</f>
        <v>2.8402357421350652</v>
      </c>
      <c r="I1761" s="1">
        <f>'[1]Electricity and CHPs_CAP'!E$14</f>
        <v>2.6090378441108784</v>
      </c>
      <c r="J1761" s="1">
        <f>'[2]Electricity and CHPs_CAP'!F$14</f>
        <v>2.0753299133498935</v>
      </c>
      <c r="K1761" s="1">
        <f>'[2]Electricity and CHPs_CAP'!G$14</f>
        <v>1.2356853945682451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16.199600522620472</v>
      </c>
      <c r="H1762" s="1">
        <f t="shared" si="1853"/>
        <v>16.668988426576931</v>
      </c>
      <c r="I1762" s="1">
        <f t="shared" si="1853"/>
        <v>16.691456701891749</v>
      </c>
      <c r="J1762" s="1">
        <f t="shared" si="1853"/>
        <v>16.728210176307734</v>
      </c>
      <c r="K1762" s="1">
        <f t="shared" si="1853"/>
        <v>17.002615695026766</v>
      </c>
      <c r="L1762" s="1">
        <f t="shared" ref="L1762" si="1854">SUM(L1763:L1765)</f>
        <v>17.454252028971318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7.4068633440738028</v>
      </c>
      <c r="H1763" s="1">
        <f>'[1]Electricity and CHPs_CAP'!D$15</f>
        <v>7.423698135618003</v>
      </c>
      <c r="I1763" s="1">
        <f>'[1]Electricity and CHPs_CAP'!E$15</f>
        <v>7.4237970576586196</v>
      </c>
      <c r="J1763" s="1">
        <f>'[2]Electricity and CHPs_CAP'!F$15</f>
        <v>7.465779765818608</v>
      </c>
      <c r="K1763" s="1">
        <f>'[2]Electricity and CHPs_CAP'!G$15</f>
        <v>7.6233545255888169</v>
      </c>
      <c r="L1763" s="1">
        <f>'[2]Electricity and CHPs_CAP'!H$15</f>
        <v>7.7285912345669914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4.8168369740620012</v>
      </c>
      <c r="H1764" s="1">
        <f>'[1]Electricity and CHPs_CAP'!D$16</f>
        <v>4.8809690325953117</v>
      </c>
      <c r="I1764" s="1">
        <f>'[1]Electricity and CHPs_CAP'!E$16</f>
        <v>4.9033383858695121</v>
      </c>
      <c r="J1764" s="1">
        <f>'[2]Electricity and CHPs_CAP'!F$16</f>
        <v>4.9024770863333149</v>
      </c>
      <c r="K1764" s="1">
        <f>'[2]Electricity and CHPs_CAP'!G$16</f>
        <v>5.0193076081171935</v>
      </c>
      <c r="L1764" s="1">
        <f>'[2]Electricity and CHPs_CAP'!H$16</f>
        <v>5.365706546592957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3.9759002044846681</v>
      </c>
      <c r="H1765" s="1">
        <f>'[1]Electricity and CHPs_CAP'!D$17</f>
        <v>4.364321258363618</v>
      </c>
      <c r="I1765" s="1">
        <f>'[1]Electricity and CHPs_CAP'!E$17</f>
        <v>4.364321258363618</v>
      </c>
      <c r="J1765" s="1">
        <f>'[2]Electricity and CHPs_CAP'!F$17</f>
        <v>4.3599533241558088</v>
      </c>
      <c r="K1765" s="1">
        <f>'[2]Electricity and CHPs_CAP'!G$17</f>
        <v>4.3599535613207543</v>
      </c>
      <c r="L1765" s="1">
        <f>'[2]Electricity and CHPs_CAP'!H$17</f>
        <v>4.3599542478113706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0.10028766151657656</v>
      </c>
      <c r="G1766" s="1">
        <f t="shared" ref="G1766:K1766" si="1855">SUM(G1767:G1769)</f>
        <v>7.0358472978489323E-2</v>
      </c>
      <c r="H1766" s="1">
        <f t="shared" si="1855"/>
        <v>6.6866937342234048E-2</v>
      </c>
      <c r="I1766" s="1">
        <f t="shared" si="1855"/>
        <v>7.0218535131374021E-2</v>
      </c>
      <c r="J1766" s="1">
        <f t="shared" si="1855"/>
        <v>5.3504044493920502E-2</v>
      </c>
      <c r="K1766" s="1">
        <f t="shared" si="1855"/>
        <v>2.3228410642130225E-2</v>
      </c>
      <c r="L1766" s="1">
        <f t="shared" ref="L1766" si="1856">SUM(L1767:L1769)</f>
        <v>1.3209145408420767E-3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8.1232829986476796E-2</v>
      </c>
      <c r="G1767" s="1">
        <f>'[1]Electricity and CHPs_CAP'!C$18</f>
        <v>3.5789385088572843E-2</v>
      </c>
      <c r="H1767" s="1">
        <f>'[1]Electricity and CHPs_CAP'!D$18</f>
        <v>3.26621325943348E-2</v>
      </c>
      <c r="I1767" s="1">
        <f>'[1]Electricity and CHPs_CAP'!E$18</f>
        <v>4.0101408809086622E-2</v>
      </c>
      <c r="J1767" s="1">
        <f>'[2]Electricity and CHPs_CAP'!F$18</f>
        <v>3.9363158931928641E-2</v>
      </c>
      <c r="K1767" s="1">
        <f>'[2]Electricity and CHPs_CAP'!G$18</f>
        <v>2.2942382704559599E-2</v>
      </c>
      <c r="L1767" s="1">
        <f>'[2]Electricity and CHPs_CAP'!H$18</f>
        <v>1.1751069581406003E-3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1.0757283737330673E-2</v>
      </c>
      <c r="G1768" s="1">
        <f>'[1]Electricity and CHPs_CAP'!C$28</f>
        <v>1.0406777987479129E-2</v>
      </c>
      <c r="H1768" s="1">
        <f>'[1]Electricity and CHPs_CAP'!D$28</f>
        <v>1.0067985908567135E-2</v>
      </c>
      <c r="I1768" s="1">
        <f>'[1]Electricity and CHPs_CAP'!E$28</f>
        <v>5.9965843477021719E-3</v>
      </c>
      <c r="J1768" s="1">
        <f>'[2]Electricity and CHPs_CAP'!F$28</f>
        <v>8.3104969007433919E-4</v>
      </c>
      <c r="K1768" s="1">
        <f>'[2]Electricity and CHPs_CAP'!G$28</f>
        <v>2.8602793757062607E-4</v>
      </c>
      <c r="L1768" s="1">
        <f>'[2]Electricity and CHPs_CAP'!H$28</f>
        <v>1.4580758270147642E-4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8.2975477927690958E-3</v>
      </c>
      <c r="G1769" s="1">
        <f>'[1]Electricity and CHPs_CAP'!C$41</f>
        <v>2.416230990243735E-2</v>
      </c>
      <c r="H1769" s="1">
        <f>'[1]Electricity and CHPs_CAP'!D$41</f>
        <v>2.4136818839332119E-2</v>
      </c>
      <c r="I1769" s="1">
        <f>'[1]Electricity and CHPs_CAP'!E$41</f>
        <v>2.4120541974585231E-2</v>
      </c>
      <c r="J1769" s="1">
        <f>'[2]Electricity and CHPs_CAP'!F$41</f>
        <v>1.3309835871917525E-2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0.30895567489444198</v>
      </c>
      <c r="G1770" s="1">
        <f t="shared" ref="G1770:K1770" si="1858">SUM(G1771:G1785)</f>
        <v>0.18028555822438047</v>
      </c>
      <c r="H1770" s="1">
        <f t="shared" si="1858"/>
        <v>0.15703812084554403</v>
      </c>
      <c r="I1770" s="1">
        <f t="shared" si="1858"/>
        <v>0.10684029595597624</v>
      </c>
      <c r="J1770" s="1">
        <f t="shared" si="1858"/>
        <v>0.11583761182953181</v>
      </c>
      <c r="K1770" s="1">
        <f t="shared" si="1858"/>
        <v>0.12242551544670299</v>
      </c>
      <c r="L1770" s="1">
        <f t="shared" ref="L1770" si="1859">SUM(L1771:L1785)</f>
        <v>0.17383556157251839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7.8579780977719592E-6</v>
      </c>
      <c r="L1771" s="1">
        <f>'[2]Electricity and CHPs_CAP'!H$21</f>
        <v>5.421802439597315E-4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2.6689355799727798E-4</v>
      </c>
      <c r="K1772" s="1">
        <f>'[2]Electricity and CHPs_CAP'!G$22</f>
        <v>1.1116225303625992E-3</v>
      </c>
      <c r="L1772" s="1">
        <f>'[2]Electricity and CHPs_CAP'!H$22</f>
        <v>2.5567281346811393E-2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0.10832730174213549</v>
      </c>
      <c r="G1774" s="1">
        <f>IF('[1]Electricity and CHPs_CAP'!C$24&lt;0,0,'[1]Electricity and CHPs_CAP'!C$24)</f>
        <v>6.1850074897967927E-3</v>
      </c>
      <c r="H1774" s="1">
        <f>IF('[1]Electricity and CHPs_CAP'!D$24&lt;0,0,'[1]Electricity and CHPs_CAP'!D$24)</f>
        <v>6.1699499611585912E-3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4.5701033344932203E-2</v>
      </c>
      <c r="G1776" s="1">
        <f>'[1]Electricity and CHPs_CAP'!C$39</f>
        <v>3.3830713134860552E-2</v>
      </c>
      <c r="H1776" s="1">
        <f>'[1]Electricity and CHPs_CAP'!D$39</f>
        <v>2.5276254932664131E-2</v>
      </c>
      <c r="I1776" s="1">
        <f>'[1]Electricity and CHPs_CAP'!E$39</f>
        <v>1.2310992878392848E-2</v>
      </c>
      <c r="J1776" s="1">
        <f>'[2]Electricity and CHPs_CAP'!F$39</f>
        <v>2.7855889919537538E-2</v>
      </c>
      <c r="K1776" s="1">
        <f>'[2]Electricity and CHPs_CAP'!G$39</f>
        <v>2.7626026227765357E-2</v>
      </c>
      <c r="L1776" s="1">
        <f>'[2]Electricity and CHPs_CAP'!H$39</f>
        <v>3.2936369274640248E-2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7.4783955322632496E-3</v>
      </c>
      <c r="L1777" s="1">
        <f>'[2]Electricity and CHPs_CAP'!H$40</f>
        <v>2.9868788307348609E-2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3.9685703267127701E-4</v>
      </c>
      <c r="K1778" s="1">
        <f>'[2]Electricity and CHPs_CAP'!G$47</f>
        <v>3.9870647725761377E-4</v>
      </c>
      <c r="L1778" s="1">
        <f>'[2]Electricity and CHPs_CAP'!H$47</f>
        <v>1.723654940287404E-4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4.186609550019503E-3</v>
      </c>
      <c r="G1779" s="1">
        <f>'[1]Electricity and CHPs_CAP'!C$48</f>
        <v>2.5028330250821723E-3</v>
      </c>
      <c r="H1779" s="1">
        <f>'[1]Electricity and CHPs_CAP'!D$48</f>
        <v>2.0891366071578588E-3</v>
      </c>
      <c r="I1779" s="1">
        <f>'[1]Electricity and CHPs_CAP'!E$48</f>
        <v>1.8233478151781575E-3</v>
      </c>
      <c r="J1779" s="1">
        <f>'[2]Electricity and CHPs_CAP'!F$48</f>
        <v>5.7339675540180155E-4</v>
      </c>
      <c r="K1779" s="1">
        <f>'[2]Electricity and CHPs_CAP'!G$48</f>
        <v>2.1964253174641939E-4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1.2036453705936865E-2</v>
      </c>
      <c r="G1781" s="1">
        <f>'[1]Electricity and CHPs_CAP'!C$51</f>
        <v>4.8900488044276366E-3</v>
      </c>
      <c r="H1781" s="1">
        <f>'[1]Electricity and CHPs_CAP'!D$51</f>
        <v>4.8261182680332977E-3</v>
      </c>
      <c r="I1781" s="1">
        <f>'[1]Electricity and CHPs_CAP'!E$51</f>
        <v>3.4719353208816361E-3</v>
      </c>
      <c r="J1781" s="1">
        <f>'[2]Electricity and CHPs_CAP'!F$51</f>
        <v>1.5467275137060947E-3</v>
      </c>
      <c r="K1781" s="1">
        <f>'[2]Electricity and CHPs_CAP'!G$51</f>
        <v>6.1569272701848365E-4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7.3508874322882001E-2</v>
      </c>
      <c r="G1783" s="1">
        <f>'[1]Electricity and CHPs_CAP'!C$54</f>
        <v>8.4809279494260148E-2</v>
      </c>
      <c r="H1783" s="1">
        <f>'[1]Electricity and CHPs_CAP'!D$54</f>
        <v>8.4799500733820837E-2</v>
      </c>
      <c r="I1783" s="1">
        <f>'[1]Electricity and CHPs_CAP'!E$54</f>
        <v>8.49347801261357E-2</v>
      </c>
      <c r="J1783" s="1">
        <f>'[2]Electricity and CHPs_CAP'!F$54</f>
        <v>8.4750768226443479E-2</v>
      </c>
      <c r="K1783" s="1">
        <f>'[2]Electricity and CHPs_CAP'!G$54</f>
        <v>8.4749048658237805E-2</v>
      </c>
      <c r="L1783" s="1">
        <f>'[2]Electricity and CHPs_CAP'!H$54</f>
        <v>8.474857690572965E-2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6.5195402228535926E-2</v>
      </c>
      <c r="G1784" s="1">
        <f>'[1]Electricity and CHPs_CAP'!C$55</f>
        <v>4.8067676275953139E-2</v>
      </c>
      <c r="H1784" s="1">
        <f>'[1]Electricity and CHPs_CAP'!D$55</f>
        <v>3.3877160342709309E-2</v>
      </c>
      <c r="I1784" s="1">
        <f>'[1]Electricity and CHPs_CAP'!E$55</f>
        <v>4.2992398153878994E-3</v>
      </c>
      <c r="J1784" s="1">
        <f>'[2]Electricity and CHPs_CAP'!F$55</f>
        <v>4.4707882377434047E-4</v>
      </c>
      <c r="K1784" s="1">
        <f>'[2]Electricity and CHPs_CAP'!G$55</f>
        <v>2.1852278395369934E-4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0.39704928652510862</v>
      </c>
      <c r="G1786" s="1">
        <f t="shared" ref="G1786:K1786" si="1862">SUM(G1787:G1792)</f>
        <v>0.36028459339516195</v>
      </c>
      <c r="H1786" s="1">
        <f t="shared" si="1862"/>
        <v>0.38774182938695367</v>
      </c>
      <c r="I1786" s="1">
        <f t="shared" si="1862"/>
        <v>0.36825895270061382</v>
      </c>
      <c r="J1786" s="1">
        <f t="shared" si="1862"/>
        <v>0.34995865464922399</v>
      </c>
      <c r="K1786" s="1">
        <f t="shared" si="1862"/>
        <v>0.44860260741205588</v>
      </c>
      <c r="L1786" s="1">
        <f t="shared" ref="L1786" si="1863">SUM(L1787:L1792)</f>
        <v>0.48594557878344047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0.27864794579481322</v>
      </c>
      <c r="G1787" s="1">
        <f>'[1]Electricity and CHPs_CAP'!C$19</f>
        <v>0.27853140953903349</v>
      </c>
      <c r="H1787" s="1">
        <f>'[1]Electricity and CHPs_CAP'!D$19</f>
        <v>0.3117939057380455</v>
      </c>
      <c r="I1787" s="1">
        <f>'[1]Electricity and CHPs_CAP'!E$19</f>
        <v>0.28992250172190026</v>
      </c>
      <c r="J1787" s="1">
        <f>'[2]Electricity and CHPs_CAP'!F$19</f>
        <v>0.27948897049224325</v>
      </c>
      <c r="K1787" s="1">
        <f>'[2]Electricity and CHPs_CAP'!G$19</f>
        <v>0.24621395798974</v>
      </c>
      <c r="L1787" s="1">
        <f>'[2]Electricity and CHPs_CAP'!H$19</f>
        <v>1.9722036265870657E-4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8.9479857914063599E-2</v>
      </c>
      <c r="L1788" s="1">
        <f>'[2]Electricity and CHPs_CAP'!H$20</f>
        <v>0.37460546593875538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7.8399388895541613E-2</v>
      </c>
      <c r="G1789" s="1">
        <f>'[1]Electricity and CHPs_CAP'!C$26</f>
        <v>7.1209981135797421E-2</v>
      </c>
      <c r="H1789" s="1">
        <f>'[1]Electricity and CHPs_CAP'!D$26</f>
        <v>7.1168742030482721E-2</v>
      </c>
      <c r="I1789" s="1">
        <f>'[1]Electricity and CHPs_CAP'!E$26</f>
        <v>7.4049215095624857E-2</v>
      </c>
      <c r="J1789" s="1">
        <f>'[2]Electricity and CHPs_CAP'!F$26</f>
        <v>6.9926518875612284E-2</v>
      </c>
      <c r="K1789" s="1">
        <f>'[2]Electricity and CHPs_CAP'!G$26</f>
        <v>5.417619575067139E-2</v>
      </c>
      <c r="L1789" s="1">
        <f>'[2]Electricity and CHPs_CAP'!H$26</f>
        <v>1.0144310121346783E-4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4.06480654850652E-2</v>
      </c>
      <c r="L1790" s="1">
        <f>'[2]Electricity and CHPs_CAP'!H$27</f>
        <v>8.1644650534713537E-2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4.0001951834753802E-2</v>
      </c>
      <c r="G1791" s="1">
        <f>'[1]Electricity and CHPs_CAP'!C$44</f>
        <v>1.0543202720331026E-2</v>
      </c>
      <c r="H1791" s="1">
        <f>'[1]Electricity and CHPs_CAP'!D$44</f>
        <v>4.779181618425471E-3</v>
      </c>
      <c r="I1791" s="1">
        <f>'[1]Electricity and CHPs_CAP'!E$44</f>
        <v>4.287235883088731E-3</v>
      </c>
      <c r="J1791" s="1">
        <f>'[2]Electricity and CHPs_CAP'!F$44</f>
        <v>5.4316528136842505E-4</v>
      </c>
      <c r="K1791" s="1">
        <f>'[2]Electricity and CHPs_CAP'!G$44</f>
        <v>4.6606836130933665E-4</v>
      </c>
      <c r="L1791" s="1">
        <f>'[2]Electricity and CHPs_CAP'!H$44</f>
        <v>1.185896491435667E-4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1.76184619112063E-2</v>
      </c>
      <c r="L1792" s="1">
        <f>'[2]Electricity and CHPs_CAP'!H$45</f>
        <v>2.9278209196955771E-2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1.3501134596580019E-2</v>
      </c>
      <c r="G1793" s="1">
        <f t="shared" ref="G1793:K1793" si="1865">SUM(G1794:G1800)</f>
        <v>1.6275218869680422E-2</v>
      </c>
      <c r="H1793" s="1">
        <f t="shared" si="1865"/>
        <v>4.7875172564701224E-2</v>
      </c>
      <c r="I1793" s="1">
        <f t="shared" si="1865"/>
        <v>9.8669787343917084E-2</v>
      </c>
      <c r="J1793" s="1">
        <f t="shared" si="1865"/>
        <v>0.19063960376412681</v>
      </c>
      <c r="K1793" s="1">
        <f t="shared" si="1865"/>
        <v>0.24674889974728825</v>
      </c>
      <c r="L1793" s="1">
        <f t="shared" ref="L1793" si="1866">SUM(L1794:L1800)</f>
        <v>0.37835126380364037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6.3088220311879883E-4</v>
      </c>
      <c r="G1794" s="1">
        <f>'[1]Electricity and CHPs_CAP'!C$25</f>
        <v>1.2370814708184685E-3</v>
      </c>
      <c r="H1794" s="1">
        <f>'[1]Electricity and CHPs_CAP'!D$25</f>
        <v>1.5587230261404142E-3</v>
      </c>
      <c r="I1794" s="1">
        <f>'[1]Electricity and CHPs_CAP'!E$25</f>
        <v>3.8329771409397612E-3</v>
      </c>
      <c r="J1794" s="1">
        <f>'[2]Electricity and CHPs_CAP'!F$25</f>
        <v>3.1290726636233474E-2</v>
      </c>
      <c r="K1794" s="1">
        <f>'[2]Electricity and CHPs_CAP'!G$25</f>
        <v>5.2986730605017927E-2</v>
      </c>
      <c r="L1794" s="1">
        <f>'[2]Electricity and CHPs_CAP'!H$25</f>
        <v>9.7767357524753087E-2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2.16335493419722E-4</v>
      </c>
      <c r="L1795" s="1">
        <f>'[2]Electricity and CHPs_CAP'!H$31</f>
        <v>8.4839063346622182E-2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1.2870252393461221E-2</v>
      </c>
      <c r="G1796" s="1">
        <f>'[1]Electricity and CHPs_CAP'!C$42</f>
        <v>1.5038137398861954E-2</v>
      </c>
      <c r="H1796" s="1">
        <f>'[1]Electricity and CHPs_CAP'!D$42</f>
        <v>4.631644953856081E-2</v>
      </c>
      <c r="I1796" s="1">
        <f>'[1]Electricity and CHPs_CAP'!E$42</f>
        <v>9.4195697419412902E-2</v>
      </c>
      <c r="J1796" s="1">
        <f>'[2]Electricity and CHPs_CAP'!F$42</f>
        <v>0.13764839674664123</v>
      </c>
      <c r="K1796" s="1">
        <f>'[2]Electricity and CHPs_CAP'!G$42</f>
        <v>0.12753224107348032</v>
      </c>
      <c r="L1796" s="1">
        <f>'[2]Electricity and CHPs_CAP'!H$42</f>
        <v>0.12546346591119606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2.2663437013690502E-2</v>
      </c>
      <c r="L1797" s="1">
        <f>'[2]Electricity and CHPs_CAP'!H$43</f>
        <v>6.29347988890787E-2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1.3927684143595729E-4</v>
      </c>
      <c r="J1798" s="1">
        <f>'[2]Electricity and CHPs_CAP'!F$50</f>
        <v>5.3107838235310419E-4</v>
      </c>
      <c r="K1798" s="1">
        <f>'[2]Electricity and CHPs_CAP'!G$50</f>
        <v>5.4772834417287405E-4</v>
      </c>
      <c r="L1798" s="1">
        <f>'[2]Electricity and CHPs_CAP'!H$50</f>
        <v>2.0501272831665527E-4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2.4619668007455696E-4</v>
      </c>
      <c r="J1799" s="1">
        <f>'[2]Electricity and CHPs_CAP'!F$53</f>
        <v>2.090479284157578E-2</v>
      </c>
      <c r="K1799" s="1">
        <f>'[2]Electricity and CHPs_CAP'!G$53</f>
        <v>4.2583494702726654E-2</v>
      </c>
      <c r="L1799" s="1">
        <f>'[2]Electricity and CHPs_CAP'!H$53</f>
        <v>7.0494689524331494E-3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2.5563926205390602E-4</v>
      </c>
      <c r="J1800" s="1">
        <f>'[2]Electricity and CHPs_CAP'!F$56</f>
        <v>2.6460915732320819E-4</v>
      </c>
      <c r="K1800" s="1">
        <f>'[2]Electricity and CHPs_CAP'!G$56</f>
        <v>2.1893251478025943E-4</v>
      </c>
      <c r="L1800" s="1">
        <f>'[2]Electricity and CHPs_CAP'!H$56</f>
        <v>9.2096451240592005E-5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9.0662617745997209E-2</v>
      </c>
      <c r="H1801" s="1">
        <f t="shared" si="1868"/>
        <v>8.365853523992621E-2</v>
      </c>
      <c r="I1801" s="1">
        <f t="shared" si="1868"/>
        <v>0.34088408587087532</v>
      </c>
      <c r="J1801" s="1">
        <f t="shared" si="1868"/>
        <v>0.60450662307696579</v>
      </c>
      <c r="K1801" s="1">
        <f t="shared" si="1868"/>
        <v>1.1969656317551769</v>
      </c>
      <c r="L1801" s="1">
        <f t="shared" si="1868"/>
        <v>4.7993645480607396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9.0662617745997209E-2</v>
      </c>
      <c r="H1802" s="1">
        <f>'[1]Electricity and CHPs_CAP'!D$33</f>
        <v>8.365853523992621E-2</v>
      </c>
      <c r="I1802" s="1">
        <f>'[1]Electricity and CHPs_CAP'!E$33</f>
        <v>0.34088408587087532</v>
      </c>
      <c r="J1802" s="1">
        <f>'[2]Electricity and CHPs_CAP'!F$33</f>
        <v>0.60450662307696579</v>
      </c>
      <c r="K1802" s="1">
        <f>'[2]Electricity and CHPs_CAP'!G$33</f>
        <v>1.1969656317551769</v>
      </c>
      <c r="L1802" s="1">
        <f>'[2]Electricity and CHPs_CAP'!H$33</f>
        <v>4.7993645480607396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4.3714851417875842</v>
      </c>
      <c r="H1803" s="1">
        <f t="shared" si="1869"/>
        <v>9.1890172754312225</v>
      </c>
      <c r="I1803" s="1">
        <f t="shared" si="1869"/>
        <v>15.033711911881475</v>
      </c>
      <c r="J1803" s="1">
        <f t="shared" si="1869"/>
        <v>18.731935228205483</v>
      </c>
      <c r="K1803" s="1">
        <f t="shared" si="1869"/>
        <v>39.833296008807707</v>
      </c>
      <c r="L1803" s="1">
        <f t="shared" ref="L1803" si="1870">SUM(L1804:L1808)</f>
        <v>43.521421360091352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4.4864911900832499E-2</v>
      </c>
      <c r="I1804" s="1">
        <f>'[1]Electricity and CHPs_CAP'!E$34</f>
        <v>0.12144667718272187</v>
      </c>
      <c r="J1804" s="1">
        <f>'[2]Electricity and CHPs_CAP'!F$34</f>
        <v>0.43631846065998692</v>
      </c>
      <c r="K1804" s="1">
        <f>'[2]Electricity and CHPs_CAP'!G$34</f>
        <v>4.6911860984443372</v>
      </c>
      <c r="L1804" s="1">
        <f>'[2]Electricity and CHPs_CAP'!H$34</f>
        <v>4.6715343901157382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1.652929024573641</v>
      </c>
      <c r="H1805" s="1">
        <f>'[1]Electricity and CHPs_CAP'!D$35</f>
        <v>3.56113268765997</v>
      </c>
      <c r="I1805" s="1">
        <f>'[1]Electricity and CHPs_CAP'!E$35</f>
        <v>5.6147042074852802</v>
      </c>
      <c r="J1805" s="1">
        <f>'[2]Electricity and CHPs_CAP'!F$35</f>
        <v>8.6949342045311795</v>
      </c>
      <c r="K1805" s="1">
        <f>'[2]Electricity and CHPs_CAP'!G$35</f>
        <v>11.775187815584237</v>
      </c>
      <c r="L1805" s="1">
        <f>'[2]Electricity and CHPs_CAP'!H$35</f>
        <v>13.007132396680801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1.1561786480868297</v>
      </c>
      <c r="H1806" s="1">
        <f>'[1]Electricity and CHPs_CAP'!D$36</f>
        <v>1.487477375800486</v>
      </c>
      <c r="I1806" s="1">
        <f>'[1]Electricity and CHPs_CAP'!E$36</f>
        <v>3.2249065931547394</v>
      </c>
      <c r="J1806" s="1">
        <f>'[2]Electricity and CHPs_CAP'!F$36</f>
        <v>3.4021852903327447</v>
      </c>
      <c r="K1806" s="1">
        <f>'[2]Electricity and CHPs_CAP'!G$36</f>
        <v>3.589627211340138</v>
      </c>
      <c r="L1806" s="1">
        <f>'[2]Electricity and CHPs_CAP'!H$36</f>
        <v>3.9963200848762099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0.43927434041024166</v>
      </c>
      <c r="H1807" s="1">
        <f>'[1]Electricity and CHPs_CAP'!D$37</f>
        <v>0.91570631028671357</v>
      </c>
      <c r="I1807" s="1">
        <f>'[1]Electricity and CHPs_CAP'!E$37</f>
        <v>0.91192177711104327</v>
      </c>
      <c r="J1807" s="1">
        <f>'[2]Electricity and CHPs_CAP'!F$37</f>
        <v>0.77283678883781193</v>
      </c>
      <c r="K1807" s="1">
        <f>'[2]Electricity and CHPs_CAP'!G$37</f>
        <v>8.1089835823548118</v>
      </c>
      <c r="L1807" s="1">
        <f>'[2]Electricity and CHPs_CAP'!H$37</f>
        <v>8.9573602578701994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1.1231031287168727</v>
      </c>
      <c r="H1808" s="1">
        <f>'[1]Electricity and CHPs_CAP'!D$38</f>
        <v>3.1798359897832205</v>
      </c>
      <c r="I1808" s="1">
        <f>'[1]Electricity and CHPs_CAP'!E$38</f>
        <v>5.1607326569476903</v>
      </c>
      <c r="J1808" s="1">
        <f>'[2]Electricity and CHPs_CAP'!F$38</f>
        <v>5.4256604838437585</v>
      </c>
      <c r="K1808" s="1">
        <f>'[2]Electricity and CHPs_CAP'!G$38</f>
        <v>11.66831130108419</v>
      </c>
      <c r="L1808" s="1">
        <f>'[2]Electricity and CHPs_CAP'!H$38</f>
        <v>12.889074230548401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4.6338895106723101E-2</v>
      </c>
      <c r="L1809" s="1">
        <f>'[2]Electricity and CHPs_CAP'!H$32</f>
        <v>0.29599837298286147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4.6338895106723101E-2</v>
      </c>
      <c r="L1810" s="1">
        <f t="shared" ref="L1810" si="1874">L1809</f>
        <v>0.29599837298286147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2.5823633226281801E-3</v>
      </c>
      <c r="J1811" s="1">
        <f t="shared" si="1875"/>
        <v>1.2633144916248703E-3</v>
      </c>
      <c r="K1811" s="1">
        <f t="shared" si="1875"/>
        <v>2.464392623626966E-2</v>
      </c>
      <c r="L1811" s="1">
        <f t="shared" ref="L1811" si="1876">SUM(L1812:L1814)</f>
        <v>4.3091126318301788E-2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5.0423850554799404E-4</v>
      </c>
      <c r="L1812" s="1">
        <f>'[2]Electricity and CHPs_CAP'!H$30</f>
        <v>2.5168324973628323E-2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9.1220903981886802E-4</v>
      </c>
      <c r="K1813" s="1">
        <f>'[2]Electricity and CHPs_CAP'!G$46</f>
        <v>2.3515717186607461E-2</v>
      </c>
      <c r="L1813" s="1">
        <f>'[2]Electricity and CHPs_CAP'!H$46</f>
        <v>1.721828694078829E-2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2.5823633226281801E-3</v>
      </c>
      <c r="J1814" s="1">
        <f>'[2]Electricity and CHPs_CAP'!F$57</f>
        <v>3.5110545180600222E-4</v>
      </c>
      <c r="K1814" s="1">
        <f>'[2]Electricity and CHPs_CAP'!G$57</f>
        <v>6.2397054411420546E-4</v>
      </c>
      <c r="L1814" s="1">
        <f>'[2]Electricity and CHPs_CAP'!H$57</f>
        <v>7.0451440388517319E-4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0.18322531022244842</v>
      </c>
      <c r="G1815" s="1">
        <f t="shared" ref="G1815:K1815" si="1877">SUM(G1816:G1822)</f>
        <v>0.18330151819712398</v>
      </c>
      <c r="H1815" s="1">
        <f t="shared" si="1877"/>
        <v>0.50961664080503555</v>
      </c>
      <c r="I1815" s="1">
        <f t="shared" si="1877"/>
        <v>0.84630757235125076</v>
      </c>
      <c r="J1815" s="1">
        <f t="shared" si="1877"/>
        <v>1.0226613595407326</v>
      </c>
      <c r="K1815" s="1">
        <f t="shared" si="1877"/>
        <v>3.2654916547424406</v>
      </c>
      <c r="L1815" s="1">
        <f t="shared" ref="L1815" si="1878">SUM(L1816:L1822)</f>
        <v>3.9754406885187197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9.997276009901121E-2</v>
      </c>
      <c r="H1816" s="1">
        <f>'[1]Electricity and CHPs_CAP'!D$63</f>
        <v>9.9969443633639521E-2</v>
      </c>
      <c r="I1816" s="1">
        <f>'[1]Electricity and CHPs_CAP'!E$63</f>
        <v>9.997017813003288E-2</v>
      </c>
      <c r="J1816" s="1">
        <f>'[2]Electricity and CHPs_CAP'!F$63</f>
        <v>9.9997849639445927E-2</v>
      </c>
      <c r="K1816" s="1">
        <f>'[2]Electricity and CHPs_CAP'!G$63</f>
        <v>9.9998356215975623E-2</v>
      </c>
      <c r="L1816" s="1">
        <f>'[2]Electricity and CHPs_CAP'!H$63</f>
        <v>9.9998579930351536E-2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1.2706960992768201E-2</v>
      </c>
      <c r="G1817" s="1">
        <f>'[1]Electricity and CHPs_CAP'!C$64</f>
        <v>1.271593329609862E-2</v>
      </c>
      <c r="H1817" s="1">
        <f>'[1]Electricity and CHPs_CAP'!D$64</f>
        <v>1.2866627606723847E-2</v>
      </c>
      <c r="I1817" s="1">
        <f>'[1]Electricity and CHPs_CAP'!E$64</f>
        <v>3.1949216350766994E-2</v>
      </c>
      <c r="J1817" s="1">
        <f>'[2]Electricity and CHPs_CAP'!F$64</f>
        <v>9.2291691023606556E-2</v>
      </c>
      <c r="K1817" s="1">
        <f>'[2]Electricity and CHPs_CAP'!G$64</f>
        <v>1.2286386875382413</v>
      </c>
      <c r="L1817" s="1">
        <f>'[2]Electricity and CHPs_CAP'!H$64</f>
        <v>1.228679658078857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9.6401009126476107E-3</v>
      </c>
      <c r="G1818" s="1">
        <f>'[1]Electricity and CHPs_CAP'!C$65</f>
        <v>9.6497167756319675E-3</v>
      </c>
      <c r="H1818" s="1">
        <f>'[1]Electricity and CHPs_CAP'!D$65</f>
        <v>9.7586707475158276E-3</v>
      </c>
      <c r="I1818" s="1">
        <f>'[1]Electricity and CHPs_CAP'!E$65</f>
        <v>1.7650283203251058E-2</v>
      </c>
      <c r="J1818" s="1">
        <f>'[2]Electricity and CHPs_CAP'!F$65</f>
        <v>3.4501257678643968E-2</v>
      </c>
      <c r="K1818" s="1">
        <f>'[2]Electricity and CHPs_CAP'!G$65</f>
        <v>0.42822113048497035</v>
      </c>
      <c r="L1818" s="1">
        <f>'[2]Electricity and CHPs_CAP'!H$65</f>
        <v>0.81220447130134465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1.0042638807873625E-2</v>
      </c>
      <c r="G1819" s="1">
        <f>'[1]Electricity and CHPs_CAP'!C$66</f>
        <v>1.0056056809871984E-2</v>
      </c>
      <c r="H1819" s="1">
        <f>'[1]Electricity and CHPs_CAP'!D$66</f>
        <v>7.1502404852610613E-2</v>
      </c>
      <c r="I1819" s="1">
        <f>'[1]Electricity and CHPs_CAP'!E$66</f>
        <v>0.11485678790357512</v>
      </c>
      <c r="J1819" s="1">
        <f>'[2]Electricity and CHPs_CAP'!F$66</f>
        <v>0.1809844853541884</v>
      </c>
      <c r="K1819" s="1">
        <f>'[2]Electricity and CHPs_CAP'!G$66</f>
        <v>0.25299384112246592</v>
      </c>
      <c r="L1819" s="1">
        <f>'[2]Electricity and CHPs_CAP'!H$66</f>
        <v>0.30739699201873627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2.118490047211433E-2</v>
      </c>
      <c r="G1820" s="1">
        <f>'[1]Electricity and CHPs_CAP'!C$67</f>
        <v>2.1217381428038345E-2</v>
      </c>
      <c r="H1820" s="1">
        <f>'[1]Electricity and CHPs_CAP'!D$67</f>
        <v>0.15329253630117884</v>
      </c>
      <c r="I1820" s="1">
        <f>'[1]Electricity and CHPs_CAP'!E$67</f>
        <v>0.33449920570524139</v>
      </c>
      <c r="J1820" s="1">
        <f>'[2]Electricity and CHPs_CAP'!F$67</f>
        <v>0.36054016996239802</v>
      </c>
      <c r="K1820" s="1">
        <f>'[2]Electricity and CHPs_CAP'!G$67</f>
        <v>0.40159097935933175</v>
      </c>
      <c r="L1820" s="1">
        <f>'[2]Electricity and CHPs_CAP'!H$67</f>
        <v>0.50264356217165673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1.9202524602450664E-2</v>
      </c>
      <c r="G1821" s="1">
        <f>'[1]Electricity and CHPs_CAP'!C$68</f>
        <v>1.9226490388208617E-2</v>
      </c>
      <c r="H1821" s="1">
        <f>'[1]Electricity and CHPs_CAP'!D$68</f>
        <v>3.6728619300343449E-2</v>
      </c>
      <c r="I1821" s="1">
        <f>'[1]Electricity and CHPs_CAP'!E$68</f>
        <v>3.7537359726462008E-2</v>
      </c>
      <c r="J1821" s="1">
        <f>'[2]Electricity and CHPs_CAP'!F$68</f>
        <v>2.8503159746844912E-2</v>
      </c>
      <c r="K1821" s="1">
        <f>'[2]Electricity and CHPs_CAP'!G$68</f>
        <v>0.3508010380320335</v>
      </c>
      <c r="L1821" s="1">
        <f>'[2]Electricity and CHPs_CAP'!H$68</f>
        <v>0.41218953313839873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1.0448184434593983E-2</v>
      </c>
      <c r="G1822" s="1">
        <f>'[1]Electricity and CHPs_CAP'!C$69</f>
        <v>1.0463179400263247E-2</v>
      </c>
      <c r="H1822" s="1">
        <f>'[1]Electricity and CHPs_CAP'!D$69</f>
        <v>0.12549833836302349</v>
      </c>
      <c r="I1822" s="1">
        <f>'[1]Electricity and CHPs_CAP'!E$69</f>
        <v>0.20984454133192129</v>
      </c>
      <c r="J1822" s="1">
        <f>'[2]Electricity and CHPs_CAP'!F$69</f>
        <v>0.22584274613560476</v>
      </c>
      <c r="K1822" s="1">
        <f>'[2]Electricity and CHPs_CAP'!G$69</f>
        <v>0.50324762198942197</v>
      </c>
      <c r="L1822" s="1">
        <f>'[2]Electricity and CHPs_CAP'!H$69</f>
        <v>0.61232789187937453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11.164660214352383</v>
      </c>
      <c r="G1823" s="3">
        <f t="shared" ref="G1823:K1823" si="1881">SUM(G1824,G1843)</f>
        <v>11.951580044925967</v>
      </c>
      <c r="H1823" s="3">
        <f t="shared" si="1881"/>
        <v>11.858986350229776</v>
      </c>
      <c r="I1823" s="3">
        <f t="shared" si="1881"/>
        <v>13.123880014895573</v>
      </c>
      <c r="J1823" s="3">
        <f t="shared" si="1881"/>
        <v>9.6109166226768803</v>
      </c>
      <c r="K1823" s="3">
        <f t="shared" si="1881"/>
        <v>9.3766825770739057</v>
      </c>
      <c r="L1823" s="3">
        <f t="shared" ref="L1823" si="1882">SUM(L1824,L1843)</f>
        <v>8.798224784228303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9.3031653217428936</v>
      </c>
      <c r="G1824" s="1">
        <f t="shared" ref="G1824:K1824" si="1883">SUM(G1825,G1828,G1830,G1833,G1835,G1837,G1839,G1841)</f>
        <v>9.9331941456963726</v>
      </c>
      <c r="H1824" s="1">
        <f t="shared" si="1883"/>
        <v>9.9033594632878152</v>
      </c>
      <c r="I1824" s="1">
        <f t="shared" si="1883"/>
        <v>11.069473361064484</v>
      </c>
      <c r="J1824" s="1">
        <f t="shared" si="1883"/>
        <v>7.7785299170208306</v>
      </c>
      <c r="K1824" s="1">
        <f t="shared" si="1883"/>
        <v>7.2404992545131881</v>
      </c>
      <c r="L1824" s="1">
        <f t="shared" ref="L1824" si="1884">SUM(L1825,L1828,L1830,L1833,L1835,L1837,L1839,L1841)</f>
        <v>6.4829032458814311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2.111714442656516</v>
      </c>
      <c r="G1825" s="1">
        <f t="shared" ref="G1825:K1825" si="1885">SUM(G1826:G1827)</f>
        <v>2.4019297157418</v>
      </c>
      <c r="H1825" s="1">
        <f t="shared" si="1885"/>
        <v>2.7466899370178424</v>
      </c>
      <c r="I1825" s="1">
        <f t="shared" si="1885"/>
        <v>3.2883483905890571</v>
      </c>
      <c r="J1825" s="1">
        <f t="shared" si="1885"/>
        <v>3.774052423402694</v>
      </c>
      <c r="K1825" s="1">
        <f t="shared" si="1885"/>
        <v>4.2945425177478977</v>
      </c>
      <c r="L1825" s="1">
        <f t="shared" ref="L1825" si="1886">SUM(L1826:L1827)</f>
        <v>4.3638711258605882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0.67260685124093256</v>
      </c>
      <c r="G1826" s="1" cm="1">
        <f t="array" ref="G1826">SUMPRODUCT(([1]OUT_FinalEnergyCons!$B$4:$B$10000="var_cap")*1,(ISNUMBER(SEARCH("RH*-SHELCBR",[1]OUT_FinalEnergyCons!$A$4:$A$10000)))*1,[1]OUT_FinalEnergyCons!E$4:E$10000)</f>
        <v>0.7346181152637925</v>
      </c>
      <c r="H1826" s="1" cm="1">
        <f t="array" ref="H1826">SUMPRODUCT(([1]OUT_FinalEnergyCons!$B$4:$B$10000="var_cap")*1,(ISNUMBER(SEARCH("RH*-SHELCBR",[1]OUT_FinalEnergyCons!$A$4:$A$10000)))*1,[1]OUT_FinalEnergyCons!F$4:F$10000)</f>
        <v>0.16500980914133312</v>
      </c>
      <c r="I1826" s="1" cm="1">
        <f t="array" ref="I1826">SUMPRODUCT(([1]OUT_FinalEnergyCons!$B$4:$B$10000="var_cap")*1,(ISNUMBER(SEARCH("RH*-SHELCBR",[1]OUT_FinalEnergyCons!$A$4:$A$10000)))*1,[1]OUT_FinalEnergyCons!G$4:G$10000)</f>
        <v>7.3715914484717149E-2</v>
      </c>
      <c r="J1826" s="1" cm="1">
        <f t="array" ref="J1826">SUMPRODUCT(([2]OUT_FinalEnergyCons!$B$4:$B$10000="var_cap")*1,(ISNUMBER(SEARCH("RH*-SHELCBR",[2]OUT_FinalEnergyCons!$A$4:$A$10000)))*1,[2]OUT_FinalEnergyCons!H$4:H$10000)</f>
        <v>2.2797097290323802E-2</v>
      </c>
      <c r="K1826" s="1" cm="1">
        <f t="array" ref="K1826">SUMPRODUCT(([2]OUT_FinalEnergyCons!$B$4:$B$10000="var_cap")*1,(ISNUMBER(SEARCH("RH*-SHELCBR",[2]OUT_FinalEnergyCons!$A$4:$A$10000)))*1,[2]OUT_FinalEnergyCons!I$4:I$10000)</f>
        <v>5.9293024793329752E-3</v>
      </c>
      <c r="L1826" s="1" cm="1">
        <f t="array" ref="L1826">SUMPRODUCT(([2]OUT_FinalEnergyCons!$B$4:$B$10000="var_cap")*1,(ISNUMBER(SEARCH("RH*-SHELCBR",[2]OUT_FinalEnergyCons!$A$4:$A$10000)))*1,[2]OUT_FinalEnergyCons!J$4:J$10000)</f>
        <v>2.9271418468720363E-3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1.4391075914155833</v>
      </c>
      <c r="G1827" s="1" cm="1">
        <f t="array" ref="G1827">SUMPRODUCT(([1]OUT_FinalEnergyCons!$B$4:$B$10000="var_cap")*1,ISNUMBER(SEARCH("RH*-SHELCHP",[1]OUT_FinalEnergyCons!$A$4:$A$10000))*1,[1]OUT_FinalEnergyCons!E$4:E$10000)</f>
        <v>1.6673116004780075</v>
      </c>
      <c r="H1827" s="1" cm="1">
        <f t="array" ref="H1827">SUMPRODUCT(([1]OUT_FinalEnergyCons!$B$4:$B$10000="var_cap")*1,ISNUMBER(SEARCH("RH*-SHELCHP",[1]OUT_FinalEnergyCons!$A$4:$A$10000))*1,[1]OUT_FinalEnergyCons!F$4:F$10000)</f>
        <v>2.5816801278765094</v>
      </c>
      <c r="I1827" s="1" cm="1">
        <f t="array" ref="I1827">SUMPRODUCT(([1]OUT_FinalEnergyCons!$B$4:$B$10000="var_cap")*1,ISNUMBER(SEARCH("RH*-SHELCHP",[1]OUT_FinalEnergyCons!$A$4:$A$10000))*1,[1]OUT_FinalEnergyCons!G$4:G$10000)</f>
        <v>3.2146324761043399</v>
      </c>
      <c r="J1827" s="1" cm="1">
        <f t="array" ref="J1827">SUMPRODUCT(([2]OUT_FinalEnergyCons!$B$4:$B$10000="var_cap")*1,ISNUMBER(SEARCH("RH*-SHELCHP",[2]OUT_FinalEnergyCons!$A$4:$A$10000))*1,[2]OUT_FinalEnergyCons!H$4:H$10000)</f>
        <v>3.75125532611237</v>
      </c>
      <c r="K1827" s="1" cm="1">
        <f t="array" ref="K1827">SUMPRODUCT(([2]OUT_FinalEnergyCons!$B$4:$B$10000="var_cap")*1,ISNUMBER(SEARCH("RH*-SHELCHP",[2]OUT_FinalEnergyCons!$A$4:$A$10000))*1,[2]OUT_FinalEnergyCons!I$4:I$10000)</f>
        <v>4.2886132152685645</v>
      </c>
      <c r="L1827" s="1" cm="1">
        <f t="array" ref="L1827">SUMPRODUCT(([2]OUT_FinalEnergyCons!$B$4:$B$10000="var_cap")*1,ISNUMBER(SEARCH("RH*-SHELCHP",[2]OUT_FinalEnergyCons!$A$4:$A$10000))*1,[2]OUT_FinalEnergyCons!J$4:J$10000)</f>
        <v>4.3609439840137165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3.3908918835775168</v>
      </c>
      <c r="H1828" s="1">
        <f t="shared" si="1891"/>
        <v>2.9297016490919012</v>
      </c>
      <c r="I1828" s="1">
        <f t="shared" si="1891"/>
        <v>2.9179873679323212</v>
      </c>
      <c r="J1828" s="1">
        <f t="shared" si="1891"/>
        <v>0.91400196630312003</v>
      </c>
      <c r="K1828" s="1">
        <f t="shared" si="1891"/>
        <v>0.34103826645522589</v>
      </c>
      <c r="L1828" s="1">
        <f t="shared" si="1891"/>
        <v>8.225248359877721E-2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3.3908918835775168</v>
      </c>
      <c r="H1829" s="1" cm="1">
        <f t="array" ref="H1829">SUMPRODUCT(([1]OUT_FinalEnergyCons!$B$4:$B$10000="var_cap")*1, (ISNUMBER(SEARCH("RH*-SHLFOBR",[1]OUT_FinalEnergyCons!$A$4:$A$10000)))*1,[1]OUT_FinalEnergyCons!F$4:F$10000)</f>
        <v>2.9297016490919012</v>
      </c>
      <c r="I1829" s="1" cm="1">
        <f t="array" ref="I1829">SUMPRODUCT(([1]OUT_FinalEnergyCons!$B$4:$B$10000="var_cap")*1, (ISNUMBER(SEARCH("RH*-SHLFOBR",[1]OUT_FinalEnergyCons!$A$4:$A$10000)))*1,[1]OUT_FinalEnergyCons!G$4:G$10000)</f>
        <v>2.9179873679323212</v>
      </c>
      <c r="J1829" s="1" cm="1">
        <f t="array" ref="J1829">SUMPRODUCT(([2]OUT_FinalEnergyCons!$B$4:$B$10000="var_cap")*1, (ISNUMBER(SEARCH("RH*-SHLFOBR",[2]OUT_FinalEnergyCons!$A$4:$A$10000)))*1,[2]OUT_FinalEnergyCons!H$4:H$10000)</f>
        <v>0.91400196630312003</v>
      </c>
      <c r="K1829" s="1" cm="1">
        <f t="array" ref="K1829">SUMPRODUCT(([2]OUT_FinalEnergyCons!$B$4:$B$10000="var_cap")*1, (ISNUMBER(SEARCH("RH*-SHLFOBR",[2]OUT_FinalEnergyCons!$A$4:$A$10000)))*1,[2]OUT_FinalEnergyCons!I$4:I$10000)</f>
        <v>0.34103826645522589</v>
      </c>
      <c r="L1829" s="1" cm="1">
        <f t="array" ref="L1829">SUMPRODUCT(([2]OUT_FinalEnergyCons!$B$4:$B$10000="var_cap")*1, (ISNUMBER(SEARCH("RH*-SHLFOBR",[2]OUT_FinalEnergyCons!$A$4:$A$10000)))*1,[2]OUT_FinalEnergyCons!J$4:J$10000)</f>
        <v>8.225248359877721E-2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2.7687560637805997</v>
      </c>
      <c r="G1830" s="1">
        <f t="shared" ref="G1830:K1830" si="1894">SUM(G1831:G1832)</f>
        <v>2.985298301446432</v>
      </c>
      <c r="H1830" s="1">
        <f t="shared" si="1894"/>
        <v>3.2420341878675401</v>
      </c>
      <c r="I1830" s="1">
        <f t="shared" si="1894"/>
        <v>3.8757075037725848</v>
      </c>
      <c r="J1830" s="1">
        <f t="shared" si="1894"/>
        <v>2.4206169337330707</v>
      </c>
      <c r="K1830" s="1">
        <f t="shared" si="1894"/>
        <v>2.0738219714694495</v>
      </c>
      <c r="L1830" s="1">
        <f t="shared" ref="L1830" si="1895">SUM(L1831:L1832)</f>
        <v>1.7277574038424675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2.9852561817935266</v>
      </c>
      <c r="H1831" s="1" cm="1">
        <f t="array" ref="H1831">SUMPRODUCT(([1]OUT_FinalEnergyCons!$B$4:$B$10000="var_cap")*1, (ISNUMBER(SEARCH("RH*-SHNGABR",[1]OUT_FinalEnergyCons!$A$4:$A$10000)))*1,[1]OUT_FinalEnergyCons!F$4:F$10000)</f>
        <v>2.8488152920298115</v>
      </c>
      <c r="I1831" s="1" cm="1">
        <f t="array" ref="I1831">SUMPRODUCT(([1]OUT_FinalEnergyCons!$B$4:$B$10000="var_cap")*1, (ISNUMBER(SEARCH("RH*-SHNGABR",[1]OUT_FinalEnergyCons!$A$4:$A$10000)))*1,[1]OUT_FinalEnergyCons!G$4:G$10000)</f>
        <v>2.8448121684044003</v>
      </c>
      <c r="J1831" s="1" cm="1">
        <f t="array" ref="J1831">SUMPRODUCT(([2]OUT_FinalEnergyCons!$B$4:$B$10000="var_cap")*1, (ISNUMBER(SEARCH("RH*-SHNGABR",[2]OUT_FinalEnergyCons!$A$4:$A$10000)))*1,[2]OUT_FinalEnergyCons!H$4:H$10000)</f>
        <v>1.1010957489302287</v>
      </c>
      <c r="K1831" s="1" cm="1">
        <f t="array" ref="K1831">SUMPRODUCT(([2]OUT_FinalEnergyCons!$B$4:$B$10000="var_cap")*1, (ISNUMBER(SEARCH("RH*-SHNGABR",[2]OUT_FinalEnergyCons!$A$4:$A$10000)))*1,[2]OUT_FinalEnergyCons!I$4:I$10000)</f>
        <v>0.48122981929449876</v>
      </c>
      <c r="L1831" s="1" cm="1">
        <f t="array" ref="L1831">SUMPRODUCT(([2]OUT_FinalEnergyCons!$B$4:$B$10000="var_cap")*1, (ISNUMBER(SEARCH("RH*-SHNGABR",[2]OUT_FinalEnergyCons!$A$4:$A$10000)))*1,[2]OUT_FinalEnergyCons!J$4:J$10000)</f>
        <v>0.21226647182977937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2.01254224972051E-6</v>
      </c>
      <c r="G1832" s="1" cm="1">
        <f t="array" ref="G1832">SUMPRODUCT(([1]OUT_FinalEnergyCons!$B$4:$B$10000="var_cap")*1,ISNUMBER(SEARCH("RH*-SHngahp",[1]OUT_FinalEnergyCons!$A$4:$A$10000))*1,[1]OUT_FinalEnergyCons!E$4:E$10000)</f>
        <v>4.2119652905483707E-5</v>
      </c>
      <c r="H1832" s="1" cm="1">
        <f t="array" ref="H1832">SUMPRODUCT(([1]OUT_FinalEnergyCons!$B$4:$B$10000="var_cap")*1,ISNUMBER(SEARCH("RH*-SHngahp",[1]OUT_FinalEnergyCons!$A$4:$A$10000))*1,[1]OUT_FinalEnergyCons!F$4:F$10000)</f>
        <v>0.39321889583772862</v>
      </c>
      <c r="I1832" s="1" cm="1">
        <f t="array" ref="I1832">SUMPRODUCT(([1]OUT_FinalEnergyCons!$B$4:$B$10000="var_cap")*1,ISNUMBER(SEARCH("RH*-SHngahp",[1]OUT_FinalEnergyCons!$A$4:$A$10000))*1,[1]OUT_FinalEnergyCons!G$4:G$10000)</f>
        <v>1.0308953353681842</v>
      </c>
      <c r="J1832" s="1" cm="1">
        <f t="array" ref="J1832">SUMPRODUCT(([2]OUT_FinalEnergyCons!$B$4:$B$10000="var_cap")*1,ISNUMBER(SEARCH("RH*-SHngahp",[2]OUT_FinalEnergyCons!$A$4:$A$10000))*1,[2]OUT_FinalEnergyCons!H$4:H$10000)</f>
        <v>1.3195211848028421</v>
      </c>
      <c r="K1832" s="1" cm="1">
        <f t="array" ref="K1832">SUMPRODUCT(([2]OUT_FinalEnergyCons!$B$4:$B$10000="var_cap")*1,ISNUMBER(SEARCH("RH*-SHngahp",[2]OUT_FinalEnergyCons!$A$4:$A$10000))*1,[2]OUT_FinalEnergyCons!I$4:I$10000)</f>
        <v>1.5925921521749509</v>
      </c>
      <c r="L1832" s="1" cm="1">
        <f t="array" ref="L1832">SUMPRODUCT(([2]OUT_FinalEnergyCons!$B$4:$B$10000="var_cap")*1,ISNUMBER(SEARCH("RH*-SHngahp",[2]OUT_FinalEnergyCons!$A$4:$A$10000))*1,[2]OUT_FinalEnergyCons!J$4:J$10000)</f>
        <v>1.5154909320126881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6.9932379087926325E-3</v>
      </c>
      <c r="H1833" s="1">
        <f t="shared" si="1899"/>
        <v>3.0152748074418999E-3</v>
      </c>
      <c r="I1833" s="1">
        <f t="shared" si="1899"/>
        <v>2.5890387824050419E-5</v>
      </c>
      <c r="J1833" s="1">
        <f t="shared" si="1899"/>
        <v>1.107263068299974E-6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6.9932379087926325E-3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3.0152748074418999E-3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2.5890387824050419E-5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1.107263068299974E-6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0.68965230340440487</v>
      </c>
      <c r="G1835" s="1">
        <f t="shared" ref="G1835:L1835" si="1901">G1836</f>
        <v>0.76719174596982753</v>
      </c>
      <c r="H1835" s="1">
        <f t="shared" si="1901"/>
        <v>0.7869537174311515</v>
      </c>
      <c r="I1835" s="1">
        <f t="shared" si="1901"/>
        <v>0.78684857081471471</v>
      </c>
      <c r="J1835" s="1">
        <f t="shared" si="1901"/>
        <v>0.59794942232740211</v>
      </c>
      <c r="K1835" s="1">
        <f t="shared" si="1901"/>
        <v>0.49269772099549541</v>
      </c>
      <c r="L1835" s="1">
        <f t="shared" si="1901"/>
        <v>0.27654216790498726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0.68965230340440487</v>
      </c>
      <c r="G1836" s="1" cm="1">
        <f t="array" ref="G1836">SUMPRODUCT(([1]OUT_FinalEnergyCons!$B$4:$B$10000="var_cap")*1, (ISNUMBER(SEARCH("RH*-SHWODBR",[1]OUT_FinalEnergyCons!$A$4:$A$10000)))*1,[1]OUT_FinalEnergyCons!E$4:E$10000)</f>
        <v>0.76719174596982753</v>
      </c>
      <c r="H1836" s="1" cm="1">
        <f t="array" ref="H1836">SUMPRODUCT(([1]OUT_FinalEnergyCons!$B$4:$B$10000="var_cap")*1, (ISNUMBER(SEARCH("RH*-SHWODBR",[1]OUT_FinalEnergyCons!$A$4:$A$10000)))*1,[1]OUT_FinalEnergyCons!F$4:F$10000)</f>
        <v>0.7869537174311515</v>
      </c>
      <c r="I1836" s="1" cm="1">
        <f t="array" ref="I1836">SUMPRODUCT(([1]OUT_FinalEnergyCons!$B$4:$B$10000="var_cap")*1, (ISNUMBER(SEARCH("RH*-SHWODBR",[1]OUT_FinalEnergyCons!$A$4:$A$10000)))*1,[1]OUT_FinalEnergyCons!G$4:G$10000)</f>
        <v>0.78684857081471471</v>
      </c>
      <c r="J1836" s="1" cm="1">
        <f t="array" ref="J1836">SUMPRODUCT(([2]OUT_FinalEnergyCons!$B$4:$B$10000="var_cap")*1, (ISNUMBER(SEARCH("RH*-SHWODBR",[2]OUT_FinalEnergyCons!$A$4:$A$10000)))*1,[2]OUT_FinalEnergyCons!H$4:H$10000)</f>
        <v>0.59794942232740211</v>
      </c>
      <c r="K1836" s="1" cm="1">
        <f t="array" ref="K1836">SUMPRODUCT(([2]OUT_FinalEnergyCons!$B$4:$B$10000="var_cap")*1, (ISNUMBER(SEARCH("RH*-SHWODBR",[2]OUT_FinalEnergyCons!$A$4:$A$10000)))*1,[2]OUT_FinalEnergyCons!I$4:I$10000)</f>
        <v>0.49269772099549541</v>
      </c>
      <c r="L1836" s="1" cm="1">
        <f t="array" ref="L1836">SUMPRODUCT(([2]OUT_FinalEnergyCons!$B$4:$B$10000="var_cap")*1, (ISNUMBER(SEARCH("RH*-SHWODBR",[2]OUT_FinalEnergyCons!$A$4:$A$10000)))*1,[2]OUT_FinalEnergyCons!J$4:J$10000)</f>
        <v>0.27654216790498726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0.20443145252559222</v>
      </c>
      <c r="G1837" s="1">
        <f t="shared" ref="G1837:L1837" si="1904">G1838</f>
        <v>0.24124318896312028</v>
      </c>
      <c r="H1837" s="1">
        <f t="shared" si="1904"/>
        <v>5.3776907772467165E-2</v>
      </c>
      <c r="I1837" s="1">
        <f t="shared" si="1904"/>
        <v>5.4857823389785537E-2</v>
      </c>
      <c r="J1837" s="1">
        <f t="shared" si="1904"/>
        <v>3.1515397547680318E-2</v>
      </c>
      <c r="K1837" s="1">
        <f t="shared" si="1904"/>
        <v>3.2707582489369807E-2</v>
      </c>
      <c r="L1837" s="1">
        <f t="shared" si="1904"/>
        <v>2.7550715245458428E-2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0.20443145252559222</v>
      </c>
      <c r="G1838" s="1" cm="1">
        <f t="array" ref="G1838">SUMPRODUCT(([1]OUT_FinalEnergyCons!$B$4:$B$10000="var_cap")*1, (ISNUMBER(SEARCH("RH*-SHPLTBR",[1]OUT_FinalEnergyCons!$A$4:$A$10000)))*1,[1]OUT_FinalEnergyCons!E$4:E$10000)</f>
        <v>0.24124318896312028</v>
      </c>
      <c r="H1838" s="1" cm="1">
        <f t="array" ref="H1838">SUMPRODUCT(([1]OUT_FinalEnergyCons!$B$4:$B$10000="var_cap")*1, (ISNUMBER(SEARCH("RH*-SHPLTBR",[1]OUT_FinalEnergyCons!$A$4:$A$10000)))*1,[1]OUT_FinalEnergyCons!F$4:F$10000)</f>
        <v>5.3776907772467165E-2</v>
      </c>
      <c r="I1838" s="1" cm="1">
        <f t="array" ref="I1838">SUMPRODUCT(([1]OUT_FinalEnergyCons!$B$4:$B$10000="var_cap")*1, (ISNUMBER(SEARCH("RH*-SHPLTBR",[1]OUT_FinalEnergyCons!$A$4:$A$10000)))*1,[1]OUT_FinalEnergyCons!G$4:G$10000)</f>
        <v>5.4857823389785537E-2</v>
      </c>
      <c r="J1838" s="1" cm="1">
        <f t="array" ref="J1838">SUMPRODUCT(([2]OUT_FinalEnergyCons!$B$4:$B$10000="var_cap")*1, (ISNUMBER(SEARCH("RH*-SHPLTBR",[2]OUT_FinalEnergyCons!$A$4:$A$10000)))*1,[2]OUT_FinalEnergyCons!H$4:H$10000)</f>
        <v>3.1515397547680318E-2</v>
      </c>
      <c r="K1838" s="1" cm="1">
        <f t="array" ref="K1838">SUMPRODUCT(([2]OUT_FinalEnergyCons!$B$4:$B$10000="var_cap")*1, (ISNUMBER(SEARCH("RH*-SHPLTBR",[2]OUT_FinalEnergyCons!$A$4:$A$10000)))*1,[2]OUT_FinalEnergyCons!I$4:I$10000)</f>
        <v>3.2707582489369807E-2</v>
      </c>
      <c r="L1838" s="1" cm="1">
        <f t="array" ref="L1838">SUMPRODUCT(([2]OUT_FinalEnergyCons!$B$4:$B$10000="var_cap")*1, (ISNUMBER(SEARCH("RH*-SHPLTBR",[2]OUT_FinalEnergyCons!$A$4:$A$10000)))*1,[2]OUT_FinalEnergyCons!J$4:J$10000)</f>
        <v>2.7550715245458428E-2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0.11420567626510202</v>
      </c>
      <c r="G1839" s="1">
        <f t="shared" ref="G1839:L1839" si="1907">G1840</f>
        <v>0.13964607208888535</v>
      </c>
      <c r="H1839" s="1">
        <f t="shared" si="1907"/>
        <v>0.14118778929947146</v>
      </c>
      <c r="I1839" s="1">
        <f t="shared" si="1907"/>
        <v>0.14569781417819522</v>
      </c>
      <c r="J1839" s="1">
        <f t="shared" si="1907"/>
        <v>4.0392666443795827E-2</v>
      </c>
      <c r="K1839" s="1">
        <f t="shared" si="1907"/>
        <v>5.6911953557499794E-3</v>
      </c>
      <c r="L1839" s="1">
        <f t="shared" si="1907"/>
        <v>4.9293494291524995E-3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0.11420567626510202</v>
      </c>
      <c r="G1840" s="1" cm="1">
        <f t="array" ref="G1840">SUMPRODUCT(([1]OUT_FinalEnergyCons!$B$4:$B$10000="var_cap")*1, (ISNUMBER(SEARCH("RH*-SHSOLBR",[1]OUT_FinalEnergyCons!$A$4:$A$10000)))*1,[1]OUT_FinalEnergyCons!E$4:E$10000)</f>
        <v>0.13964607208888535</v>
      </c>
      <c r="H1840" s="1" cm="1">
        <f t="array" ref="H1840">SUMPRODUCT(([1]OUT_FinalEnergyCons!$B$4:$B$10000="var_cap")*1, (ISNUMBER(SEARCH("RH*-SHSOLBR",[1]OUT_FinalEnergyCons!$A$4:$A$10000)))*1,[1]OUT_FinalEnergyCons!F$4:F$10000)</f>
        <v>0.14118778929947146</v>
      </c>
      <c r="I1840" s="1" cm="1">
        <f t="array" ref="I1840">SUMPRODUCT(([1]OUT_FinalEnergyCons!$B$4:$B$10000="var_cap")*1, (ISNUMBER(SEARCH("RH*-SHSOLBR",[1]OUT_FinalEnergyCons!$A$4:$A$10000)))*1,[1]OUT_FinalEnergyCons!G$4:G$10000)</f>
        <v>0.14569781417819522</v>
      </c>
      <c r="J1840" s="1" cm="1">
        <f t="array" ref="J1840">SUMPRODUCT(([2]OUT_FinalEnergyCons!$B$4:$B$10000="var_cap")*1, (ISNUMBER(SEARCH("RH*-SHSOLBR",[2]OUT_FinalEnergyCons!$A$4:$A$10000)))*1,[2]OUT_FinalEnergyCons!H$4:H$10000)</f>
        <v>4.0392666443795827E-2</v>
      </c>
      <c r="K1840" s="1" cm="1">
        <f t="array" ref="K1840">SUMPRODUCT(([2]OUT_FinalEnergyCons!$B$4:$B$10000="var_cap")*1, (ISNUMBER(SEARCH("RH*-SHSOLBR",[2]OUT_FinalEnergyCons!$A$4:$A$10000)))*1,[2]OUT_FinalEnergyCons!I$4:I$10000)</f>
        <v>5.6911953557499794E-3</v>
      </c>
      <c r="L1840" s="1" cm="1">
        <f t="array" ref="L1840">SUMPRODUCT(([2]OUT_FinalEnergyCons!$B$4:$B$10000="var_cap")*1, (ISNUMBER(SEARCH("RH*-SHSOLBR",[2]OUT_FinalEnergyCons!$A$4:$A$10000)))*1,[2]OUT_FinalEnergyCons!J$4:J$10000)</f>
        <v>4.9293494291524995E-3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1.8614948926094892</v>
      </c>
      <c r="G1843" s="1">
        <f t="shared" ref="G1843" si="1913">SUM(G1844,G1847,G1849,G1852,G1854,G1856,G1858,G1860)</f>
        <v>2.0183858992295942</v>
      </c>
      <c r="H1843" s="1">
        <f t="shared" ref="H1843" si="1914">SUM(H1844,H1847,H1849,H1852,H1854,H1856,H1858,H1860)</f>
        <v>1.9556268869419602</v>
      </c>
      <c r="I1843" s="1">
        <f t="shared" ref="I1843" si="1915">SUM(I1844,I1847,I1849,I1852,I1854,I1856,I1858,I1860)</f>
        <v>2.0544066538310881</v>
      </c>
      <c r="J1843" s="1">
        <f t="shared" ref="J1843" si="1916">SUM(J1844,J1847,J1849,J1852,J1854,J1856,J1858,J1860)</f>
        <v>1.8323867056560501</v>
      </c>
      <c r="K1843" s="1">
        <f t="shared" ref="K1843:L1843" si="1917">SUM(K1844,K1847,K1849,K1852,K1854,K1856,K1858,K1860)</f>
        <v>2.1361833225607176</v>
      </c>
      <c r="L1843" s="1">
        <f t="shared" si="1917"/>
        <v>2.3153215383468724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0.65143678408734462</v>
      </c>
      <c r="G1844" s="1">
        <f t="shared" ref="G1844" si="1919">SUM(G1845:G1846)</f>
        <v>0.7186611239188041</v>
      </c>
      <c r="H1844" s="1">
        <f t="shared" ref="H1844" si="1920">SUM(H1845:H1846)</f>
        <v>0.67401789183197403</v>
      </c>
      <c r="I1844" s="1">
        <f t="shared" ref="I1844" si="1921">SUM(I1845:I1846)</f>
        <v>0.75453214244949596</v>
      </c>
      <c r="J1844" s="1">
        <f t="shared" ref="J1844" si="1922">SUM(J1845:J1846)</f>
        <v>0.8802949547866572</v>
      </c>
      <c r="K1844" s="1">
        <f t="shared" ref="K1844:L1844" si="1923">SUM(K1845:K1846)</f>
        <v>1.1286700276641453</v>
      </c>
      <c r="L1844" s="1">
        <f t="shared" si="1923"/>
        <v>1.3325891155866392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0.43805381100900881</v>
      </c>
      <c r="G1845" s="1" cm="1">
        <f t="array" ref="G1845">SUMPRODUCT(([1]OUT_FinalEnergyCons!$B$4:$B$10000="var_cap")*1,(ISNUMBER(SEARCH("RH*-WHELCBR",[1]OUT_FinalEnergyCons!$A$4:$A$10000)))*1,[1]OUT_FinalEnergyCons!E$4:E$10000)</f>
        <v>0.47226492076174675</v>
      </c>
      <c r="H1845" s="1" cm="1">
        <f t="array" ref="H1845">SUMPRODUCT(([1]OUT_FinalEnergyCons!$B$4:$B$10000="var_cap")*1,(ISNUMBER(SEARCH("RH*-WHELCBR",[1]OUT_FinalEnergyCons!$A$4:$A$10000)))*1,[1]OUT_FinalEnergyCons!F$4:F$10000)</f>
        <v>0.34825311645012907</v>
      </c>
      <c r="I1845" s="1" cm="1">
        <f t="array" ref="I1845">SUMPRODUCT(([1]OUT_FinalEnergyCons!$B$4:$B$10000="var_cap")*1,(ISNUMBER(SEARCH("RH*-WHELCBR",[1]OUT_FinalEnergyCons!$A$4:$A$10000)))*1,[1]OUT_FinalEnergyCons!G$4:G$10000)</f>
        <v>0.25497296554436588</v>
      </c>
      <c r="J1845" s="1" cm="1">
        <f t="array" ref="J1845">SUMPRODUCT(([2]OUT_FinalEnergyCons!$B$4:$B$10000="var_cap")*1,(ISNUMBER(SEARCH("RH*-WHELCBR",[2]OUT_FinalEnergyCons!$A$4:$A$10000)))*1,[2]OUT_FinalEnergyCons!H$4:H$10000)</f>
        <v>0.14903660376654018</v>
      </c>
      <c r="K1845" s="1" cm="1">
        <f t="array" ref="K1845">SUMPRODUCT(([2]OUT_FinalEnergyCons!$B$4:$B$10000="var_cap")*1,(ISNUMBER(SEARCH("RH*-WHELCBR",[2]OUT_FinalEnergyCons!$A$4:$A$10000)))*1,[2]OUT_FinalEnergyCons!I$4:I$10000)</f>
        <v>0.18559252547283053</v>
      </c>
      <c r="L1845" s="1" cm="1">
        <f t="array" ref="L1845">SUMPRODUCT(([2]OUT_FinalEnergyCons!$B$4:$B$10000="var_cap")*1,(ISNUMBER(SEARCH("RH*-WHELCBR",[2]OUT_FinalEnergyCons!$A$4:$A$10000)))*1,[2]OUT_FinalEnergyCons!J$4:J$10000)</f>
        <v>0.15740091140754525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0.21338297307833579</v>
      </c>
      <c r="G1846" s="1" cm="1">
        <f t="array" ref="G1846">SUMPRODUCT(([1]OUT_FinalEnergyCons!$B$4:$B$10000="var_cap")*1,ISNUMBER(SEARCH("RH*-WHELCHP",[1]OUT_FinalEnergyCons!$A$4:$A$10000))*1,[1]OUT_FinalEnergyCons!E$4:E$10000)</f>
        <v>0.24639620315705729</v>
      </c>
      <c r="H1846" s="1" cm="1">
        <f t="array" ref="H1846">SUMPRODUCT(([1]OUT_FinalEnergyCons!$B$4:$B$10000="var_cap")*1,ISNUMBER(SEARCH("RH*-WHELCHP",[1]OUT_FinalEnergyCons!$A$4:$A$10000))*1,[1]OUT_FinalEnergyCons!F$4:F$10000)</f>
        <v>0.32576477538184495</v>
      </c>
      <c r="I1846" s="1" cm="1">
        <f t="array" ref="I1846">SUMPRODUCT(([1]OUT_FinalEnergyCons!$B$4:$B$10000="var_cap")*1,ISNUMBER(SEARCH("RH*-WHELCHP",[1]OUT_FinalEnergyCons!$A$4:$A$10000))*1,[1]OUT_FinalEnergyCons!G$4:G$10000)</f>
        <v>0.49955917690513002</v>
      </c>
      <c r="J1846" s="1" cm="1">
        <f t="array" ref="J1846">SUMPRODUCT(([2]OUT_FinalEnergyCons!$B$4:$B$10000="var_cap")*1,ISNUMBER(SEARCH("RH*-WHELCHP",[2]OUT_FinalEnergyCons!$A$4:$A$10000))*1,[2]OUT_FinalEnergyCons!H$4:H$10000)</f>
        <v>0.73125835102011705</v>
      </c>
      <c r="K1846" s="1" cm="1">
        <f t="array" ref="K1846">SUMPRODUCT(([2]OUT_FinalEnergyCons!$B$4:$B$10000="var_cap")*1,ISNUMBER(SEARCH("RH*-WHELCHP",[2]OUT_FinalEnergyCons!$A$4:$A$10000))*1,[2]OUT_FinalEnergyCons!I$4:I$10000)</f>
        <v>0.9430775021913147</v>
      </c>
      <c r="L1846" s="1" cm="1">
        <f t="array" ref="L1846">SUMPRODUCT(([2]OUT_FinalEnergyCons!$B$4:$B$10000="var_cap")*1,ISNUMBER(SEARCH("RH*-WHELCHP",[2]OUT_FinalEnergyCons!$A$4:$A$10000))*1,[2]OUT_FinalEnergyCons!J$4:J$10000)</f>
        <v>1.175188204179094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0.47722932399319301</v>
      </c>
      <c r="H1847" s="1">
        <f t="shared" ref="H1847" si="1928">H1848</f>
        <v>0.35136389197531193</v>
      </c>
      <c r="I1847" s="1">
        <f t="shared" ref="I1847" si="1929">I1848</f>
        <v>0.22652625532743143</v>
      </c>
      <c r="J1847" s="1">
        <f t="shared" ref="J1847" si="1930">J1848</f>
        <v>0.10876479108589339</v>
      </c>
      <c r="K1847" s="1">
        <f t="shared" ref="K1847:L1847" si="1931">K1848</f>
        <v>6.107146459551651E-2</v>
      </c>
      <c r="L1847" s="1">
        <f t="shared" si="1931"/>
        <v>1.4956301821470497E-2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0.47722932399319301</v>
      </c>
      <c r="H1848" s="1" cm="1">
        <f t="array" ref="H1848">SUMPRODUCT(([1]OUT_FinalEnergyCons!$B$4:$B$10000="var_cap")*1, (ISNUMBER(SEARCH("RH*-WHLFOBR",[1]OUT_FinalEnergyCons!$A$4:$A$10000)))*1,[1]OUT_FinalEnergyCons!F$4:F$10000)</f>
        <v>0.35136389197531193</v>
      </c>
      <c r="I1848" s="1" cm="1">
        <f t="array" ref="I1848">SUMPRODUCT(([1]OUT_FinalEnergyCons!$B$4:$B$10000="var_cap")*1, (ISNUMBER(SEARCH("RH*-WHLFOBR",[1]OUT_FinalEnergyCons!$A$4:$A$10000)))*1,[1]OUT_FinalEnergyCons!G$4:G$10000)</f>
        <v>0.22652625532743143</v>
      </c>
      <c r="J1848" s="1" cm="1">
        <f t="array" ref="J1848">SUMPRODUCT(([2]OUT_FinalEnergyCons!$B$4:$B$10000="var_cap")*1, (ISNUMBER(SEARCH("RH*-WHLFOBR",[2]OUT_FinalEnergyCons!$A$4:$A$10000)))*1,[2]OUT_FinalEnergyCons!H$4:H$10000)</f>
        <v>0.10876479108589339</v>
      </c>
      <c r="K1848" s="1" cm="1">
        <f t="array" ref="K1848">SUMPRODUCT(([2]OUT_FinalEnergyCons!$B$4:$B$10000="var_cap")*1, (ISNUMBER(SEARCH("RH*-WHLFOBR",[2]OUT_FinalEnergyCons!$A$4:$A$10000)))*1,[2]OUT_FinalEnergyCons!I$4:I$10000)</f>
        <v>6.107146459551651E-2</v>
      </c>
      <c r="L1848" s="1" cm="1">
        <f t="array" ref="L1848">SUMPRODUCT(([2]OUT_FinalEnergyCons!$B$4:$B$10000="var_cap")*1, (ISNUMBER(SEARCH("RH*-WHLFOBR",[2]OUT_FinalEnergyCons!$A$4:$A$10000)))*1,[2]OUT_FinalEnergyCons!J$4:J$10000)</f>
        <v>1.4956301821470497E-2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0.43598402343201903</v>
      </c>
      <c r="H1849" s="1">
        <f t="shared" ref="H1849" si="1935">SUM(H1850:H1851)</f>
        <v>0.50863752492761627</v>
      </c>
      <c r="I1849" s="1">
        <f t="shared" ref="I1849" si="1936">SUM(I1850:I1851)</f>
        <v>0.65098301232496669</v>
      </c>
      <c r="J1849" s="1">
        <f t="shared" ref="J1849" si="1937">SUM(J1850:J1851)</f>
        <v>0.51986911004885772</v>
      </c>
      <c r="K1849" s="1">
        <f t="shared" ref="K1849:L1849" si="1938">SUM(K1850:K1851)</f>
        <v>0.57280737479180166</v>
      </c>
      <c r="L1849" s="1">
        <f t="shared" si="1938"/>
        <v>0.59979754889282033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0.43597688599444984</v>
      </c>
      <c r="H1850" s="1" cm="1">
        <f t="array" ref="H1850">SUMPRODUCT(([1]OUT_FinalEnergyCons!$B$4:$B$10000="var_cap")*1, (ISNUMBER(SEARCH("RH*-WHNGABR",[1]OUT_FinalEnergyCons!$A$4:$A$10000)))*1,[1]OUT_FinalEnergyCons!F$4:F$10000)</f>
        <v>0.43561150923411529</v>
      </c>
      <c r="I1850" s="1" cm="1">
        <f t="array" ref="I1850">SUMPRODUCT(([1]OUT_FinalEnergyCons!$B$4:$B$10000="var_cap")*1, (ISNUMBER(SEARCH("RH*-WHNGABR",[1]OUT_FinalEnergyCons!$A$4:$A$10000)))*1,[1]OUT_FinalEnergyCons!G$4:G$10000)</f>
        <v>0.43409237162383379</v>
      </c>
      <c r="J1850" s="1" cm="1">
        <f t="array" ref="J1850">SUMPRODUCT(([2]OUT_FinalEnergyCons!$B$4:$B$10000="var_cap")*1, (ISNUMBER(SEARCH("RH*-WHNGABR",[2]OUT_FinalEnergyCons!$A$4:$A$10000)))*1,[2]OUT_FinalEnergyCons!H$4:H$10000)</f>
        <v>0.16684030968700181</v>
      </c>
      <c r="K1850" s="1" cm="1">
        <f t="array" ref="K1850">SUMPRODUCT(([2]OUT_FinalEnergyCons!$B$4:$B$10000="var_cap")*1, (ISNUMBER(SEARCH("RH*-WHNGABR",[2]OUT_FinalEnergyCons!$A$4:$A$10000)))*1,[2]OUT_FinalEnergyCons!I$4:I$10000)</f>
        <v>0.10765767598368173</v>
      </c>
      <c r="L1850" s="1" cm="1">
        <f t="array" ref="L1850">SUMPRODUCT(([2]OUT_FinalEnergyCons!$B$4:$B$10000="var_cap")*1, (ISNUMBER(SEARCH("RH*-WHNGABR",[2]OUT_FinalEnergyCons!$A$4:$A$10000)))*1,[2]OUT_FinalEnergyCons!J$4:J$10000)</f>
        <v>6.1853178258632228E-2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7.1374375691725684E-6</v>
      </c>
      <c r="H1851" s="1" cm="1">
        <f t="array" ref="H1851">SUMPRODUCT(([1]OUT_FinalEnergyCons!$B$4:$B$10000="var_cap")*1,ISNUMBER(SEARCH("RH*-WHngahp",[1]OUT_FinalEnergyCons!$A$4:$A$10000))*1,[1]OUT_FinalEnergyCons!F$4:F$10000)</f>
        <v>7.302601569350102E-2</v>
      </c>
      <c r="I1851" s="1" cm="1">
        <f t="array" ref="I1851">SUMPRODUCT(([1]OUT_FinalEnergyCons!$B$4:$B$10000="var_cap")*1,ISNUMBER(SEARCH("RH*-WHngahp",[1]OUT_FinalEnergyCons!$A$4:$A$10000))*1,[1]OUT_FinalEnergyCons!G$4:G$10000)</f>
        <v>0.21689064070113293</v>
      </c>
      <c r="J1851" s="1" cm="1">
        <f t="array" ref="J1851">SUMPRODUCT(([2]OUT_FinalEnergyCons!$B$4:$B$10000="var_cap")*1,ISNUMBER(SEARCH("RH*-WHngahp",[2]OUT_FinalEnergyCons!$A$4:$A$10000))*1,[2]OUT_FinalEnergyCons!H$4:H$10000)</f>
        <v>0.35302880036185591</v>
      </c>
      <c r="K1851" s="1" cm="1">
        <f t="array" ref="K1851">SUMPRODUCT(([2]OUT_FinalEnergyCons!$B$4:$B$10000="var_cap")*1,ISNUMBER(SEARCH("RH*-WHngahp",[2]OUT_FinalEnergyCons!$A$4:$A$10000))*1,[2]OUT_FinalEnergyCons!I$4:I$10000)</f>
        <v>0.4651496988081199</v>
      </c>
      <c r="L1851" s="1" cm="1">
        <f t="array" ref="L1851">SUMPRODUCT(([2]OUT_FinalEnergyCons!$B$4:$B$10000="var_cap")*1,ISNUMBER(SEARCH("RH*-WHngahp",[2]OUT_FinalEnergyCons!$A$4:$A$10000))*1,[2]OUT_FinalEnergyCons!J$4:J$10000)</f>
        <v>0.5379443706341881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4.07353379435757E-2</v>
      </c>
      <c r="H1854" s="1">
        <f t="shared" ref="H1854" si="1950">H1855</f>
        <v>7.9366798973991071E-2</v>
      </c>
      <c r="I1854" s="1">
        <f t="shared" ref="I1854" si="1951">I1855</f>
        <v>7.999555582088011E-2</v>
      </c>
      <c r="J1854" s="1">
        <f t="shared" ref="J1854" si="1952">J1855</f>
        <v>7.5678036958617606E-2</v>
      </c>
      <c r="K1854" s="1">
        <f t="shared" ref="K1854:L1854" si="1953">K1855</f>
        <v>7.4465151717559214E-2</v>
      </c>
      <c r="L1854" s="1">
        <f t="shared" si="1953"/>
        <v>5.8274573232360787E-2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4.07353379435757E-2</v>
      </c>
      <c r="H1855" s="1" cm="1">
        <f t="array" ref="H1855">SUMPRODUCT(([1]OUT_FinalEnergyCons!$B$4:$B$10000="var_cap")*1, (ISNUMBER(SEARCH("RH*-WHWODBR",[1]OUT_FinalEnergyCons!$A$4:$A$10000)))*1,[1]OUT_FinalEnergyCons!F$4:F$10000)</f>
        <v>7.9366798973991071E-2</v>
      </c>
      <c r="I1855" s="1" cm="1">
        <f t="array" ref="I1855">SUMPRODUCT(([1]OUT_FinalEnergyCons!$B$4:$B$10000="var_cap")*1, (ISNUMBER(SEARCH("RH*-WHWODBR",[1]OUT_FinalEnergyCons!$A$4:$A$10000)))*1,[1]OUT_FinalEnergyCons!G$4:G$10000)</f>
        <v>7.999555582088011E-2</v>
      </c>
      <c r="J1855" s="1" cm="1">
        <f t="array" ref="J1855">SUMPRODUCT(([2]OUT_FinalEnergyCons!$B$4:$B$10000="var_cap")*1, (ISNUMBER(SEARCH("RH*-WHWODBR",[2]OUT_FinalEnergyCons!$A$4:$A$10000)))*1,[2]OUT_FinalEnergyCons!H$4:H$10000)</f>
        <v>7.5678036958617606E-2</v>
      </c>
      <c r="K1855" s="1" cm="1">
        <f t="array" ref="K1855">SUMPRODUCT(([2]OUT_FinalEnergyCons!$B$4:$B$10000="var_cap")*1, (ISNUMBER(SEARCH("RH*-WHWODBR",[2]OUT_FinalEnergyCons!$A$4:$A$10000)))*1,[2]OUT_FinalEnergyCons!I$4:I$10000)</f>
        <v>7.4465151717559214E-2</v>
      </c>
      <c r="L1855" s="1" cm="1">
        <f t="array" ref="L1855">SUMPRODUCT(([2]OUT_FinalEnergyCons!$B$4:$B$10000="var_cap")*1, (ISNUMBER(SEARCH("RH*-WHWODBR",[2]OUT_FinalEnergyCons!$A$4:$A$10000)))*1,[2]OUT_FinalEnergyCons!J$4:J$10000)</f>
        <v>5.8274573232360787E-2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1.3295010748235789E-2</v>
      </c>
      <c r="H1856" s="1">
        <f t="shared" ref="H1856" si="1957">H1857</f>
        <v>9.7550191575930291E-3</v>
      </c>
      <c r="I1856" s="1">
        <f t="shared" ref="I1856" si="1958">I1857</f>
        <v>9.8012393293849514E-3</v>
      </c>
      <c r="J1856" s="1">
        <f t="shared" ref="J1856" si="1959">J1857</f>
        <v>8.3794028076586528E-3</v>
      </c>
      <c r="K1856" s="1">
        <f t="shared" ref="K1856:L1856" si="1960">K1857</f>
        <v>9.7812816070467455E-3</v>
      </c>
      <c r="L1856" s="1">
        <f t="shared" si="1960"/>
        <v>1.0337170943714042E-2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1.3295010748235789E-2</v>
      </c>
      <c r="H1857" s="1" cm="1">
        <f t="array" ref="H1857">SUMPRODUCT(([1]OUT_FinalEnergyCons!$B$4:$B$10000="var_cap")*1, (ISNUMBER(SEARCH("RH*-WHPLTBR",[1]OUT_FinalEnergyCons!$A$4:$A$10000)))*1,[1]OUT_FinalEnergyCons!F$4:F$10000)</f>
        <v>9.7550191575930291E-3</v>
      </c>
      <c r="I1857" s="1" cm="1">
        <f t="array" ref="I1857">SUMPRODUCT(([1]OUT_FinalEnergyCons!$B$4:$B$10000="var_cap")*1, (ISNUMBER(SEARCH("RH*-WHPLTBR",[1]OUT_FinalEnergyCons!$A$4:$A$10000)))*1,[1]OUT_FinalEnergyCons!G$4:G$10000)</f>
        <v>9.8012393293849514E-3</v>
      </c>
      <c r="J1857" s="1" cm="1">
        <f t="array" ref="J1857">SUMPRODUCT(([2]OUT_FinalEnergyCons!$B$4:$B$10000="var_cap")*1, (ISNUMBER(SEARCH("RH*-WHPLTBR",[2]OUT_FinalEnergyCons!$A$4:$A$10000)))*1,[2]OUT_FinalEnergyCons!H$4:H$10000)</f>
        <v>8.3794028076586528E-3</v>
      </c>
      <c r="K1857" s="1" cm="1">
        <f t="array" ref="K1857">SUMPRODUCT(([2]OUT_FinalEnergyCons!$B$4:$B$10000="var_cap")*1, (ISNUMBER(SEARCH("RH*-WHPLTBR",[2]OUT_FinalEnergyCons!$A$4:$A$10000)))*1,[2]OUT_FinalEnergyCons!I$4:I$10000)</f>
        <v>9.7812816070467455E-3</v>
      </c>
      <c r="L1857" s="1" cm="1">
        <f t="array" ref="L1857">SUMPRODUCT(([2]OUT_FinalEnergyCons!$B$4:$B$10000="var_cap")*1, (ISNUMBER(SEARCH("RH*-WHPLTBR",[2]OUT_FinalEnergyCons!$A$4:$A$10000)))*1,[2]OUT_FinalEnergyCons!J$4:J$10000)</f>
        <v>1.0337170943714042E-2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0.33248107919376657</v>
      </c>
      <c r="H1858" s="1">
        <f t="shared" ref="H1858" si="1964">H1859</f>
        <v>0.33248576007547376</v>
      </c>
      <c r="I1858" s="1">
        <f t="shared" ref="I1858" si="1965">I1859</f>
        <v>0.33256844857892914</v>
      </c>
      <c r="J1858" s="1">
        <f t="shared" ref="J1858" si="1966">J1859</f>
        <v>0.23940040996836531</v>
      </c>
      <c r="K1858" s="1">
        <f t="shared" ref="K1858:L1858" si="1967">K1859</f>
        <v>0.28938802218464804</v>
      </c>
      <c r="L1858" s="1">
        <f t="shared" si="1967"/>
        <v>0.29936682786986774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0.33248107919376657</v>
      </c>
      <c r="H1859" s="1" cm="1">
        <f t="array" ref="H1859">SUMPRODUCT(([1]OUT_FinalEnergyCons!$B$4:$B$10000="var_cap")*1, (ISNUMBER(SEARCH("RH*-WHSOLBR",[1]OUT_FinalEnergyCons!$A$4:$A$10000)))*1,[1]OUT_FinalEnergyCons!F$4:F$10000)</f>
        <v>0.33248576007547376</v>
      </c>
      <c r="I1859" s="1" cm="1">
        <f t="array" ref="I1859">SUMPRODUCT(([1]OUT_FinalEnergyCons!$B$4:$B$10000="var_cap")*1, (ISNUMBER(SEARCH("RH*-WHSOLBR",[1]OUT_FinalEnergyCons!$A$4:$A$10000)))*1,[1]OUT_FinalEnergyCons!G$4:G$10000)</f>
        <v>0.33256844857892914</v>
      </c>
      <c r="J1859" s="1" cm="1">
        <f t="array" ref="J1859">SUMPRODUCT(([2]OUT_FinalEnergyCons!$B$4:$B$10000="var_cap")*1, (ISNUMBER(SEARCH("RH*-WHSOLBR",[2]OUT_FinalEnergyCons!$A$4:$A$10000)))*1,[2]OUT_FinalEnergyCons!H$4:H$10000)</f>
        <v>0.23940040996836531</v>
      </c>
      <c r="K1859" s="1" cm="1">
        <f t="array" ref="K1859">SUMPRODUCT(([2]OUT_FinalEnergyCons!$B$4:$B$10000="var_cap")*1, (ISNUMBER(SEARCH("RH*-WHSOLBR",[2]OUT_FinalEnergyCons!$A$4:$A$10000)))*1,[2]OUT_FinalEnergyCons!I$4:I$10000)</f>
        <v>0.28938802218464804</v>
      </c>
      <c r="L1859" s="1" cm="1">
        <f t="array" ref="L1859">SUMPRODUCT(([2]OUT_FinalEnergyCons!$B$4:$B$10000="var_cap")*1, (ISNUMBER(SEARCH("RH*-WHSOLBR",[2]OUT_FinalEnergyCons!$A$4:$A$10000)))*1,[2]OUT_FinalEnergyCons!J$4:J$10000)</f>
        <v>0.29936682786986774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3.6135243050045958</v>
      </c>
      <c r="G1862" s="17">
        <f t="shared" ref="G1862:K1862" si="1976">SUM(G1863,G1866,G1869,G1873,G1875,G1877,G1879,G1881,G1883)</f>
        <v>4.2017480966580107</v>
      </c>
      <c r="H1862" s="17">
        <f t="shared" si="1976"/>
        <v>4.0051673406177528</v>
      </c>
      <c r="I1862" s="17">
        <f t="shared" si="1976"/>
        <v>4.3151781392219313</v>
      </c>
      <c r="J1862" s="17">
        <f t="shared" si="1976"/>
        <v>4.1369088749364966</v>
      </c>
      <c r="K1862" s="17">
        <f t="shared" si="1976"/>
        <v>3.5667447429997399</v>
      </c>
      <c r="L1862" s="17">
        <f t="shared" ref="L1862" si="1977">SUM(L1863,L1866,L1869,L1873,L1875,L1877,L1879,L1881,L1883)</f>
        <v>3.3603333986064179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0.83218389000299775</v>
      </c>
      <c r="H1863" s="18">
        <f t="shared" si="1978"/>
        <v>0.91121193890880781</v>
      </c>
      <c r="I1863" s="18">
        <f t="shared" si="1978"/>
        <v>1.3591928399607265</v>
      </c>
      <c r="J1863" s="18">
        <f t="shared" si="1978"/>
        <v>1.6861013182042366</v>
      </c>
      <c r="K1863" s="18">
        <f t="shared" si="1978"/>
        <v>1.5153938600509613</v>
      </c>
      <c r="L1863" s="18">
        <f t="shared" ref="L1863" si="1979">SUM(L1864:L1865)</f>
        <v>1.7842666028355296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0.75228738902036107</v>
      </c>
      <c r="H1864" s="1" cm="1">
        <f t="array" ref="H1864">SUMPRODUCT(([1]OUT_FinalEnergyCons!$B$4:$B$10000="Var_cap")*1,  (ISNUMBER(SEARCH("ITOT-SWHELCBR",[1]OUT_FinalEnergyCons!$A$4:$A$10000)))*1,[1]OUT_FinalEnergyCons!F$4:F$10000)</f>
        <v>0.76673073157571625</v>
      </c>
      <c r="I1864" s="1" cm="1">
        <f t="array" ref="I1864">SUMPRODUCT(([1]OUT_FinalEnergyCons!$B$4:$B$10000="Var_cap")*1,  (ISNUMBER(SEARCH("ITOT-SWHELCBR",[1]OUT_FinalEnergyCons!$A$4:$A$10000)))*1,[1]OUT_FinalEnergyCons!G$4:G$10000)</f>
        <v>1.0242666083314971</v>
      </c>
      <c r="J1864" s="1" cm="1">
        <f t="array" ref="J1864">SUMPRODUCT(([2]OUT_FinalEnergyCons!$B$4:$B$10000="Var_cap")*1,  (ISNUMBER(SEARCH("ITOT-SWHELCBR",[2]OUT_FinalEnergyCons!$A$4:$A$10000)))*1,[2]OUT_FinalEnergyCons!H$4:H$10000)</f>
        <v>1.2244727222054057</v>
      </c>
      <c r="K1864" s="1" cm="1">
        <f t="array" ref="K1864">SUMPRODUCT(([2]OUT_FinalEnergyCons!$B$4:$B$10000="Var_cap")*1,  (ISNUMBER(SEARCH("ITOT-SWHELCBR",[2]OUT_FinalEnergyCons!$A$4:$A$10000)))*1,[2]OUT_FinalEnergyCons!I$4:I$10000)</f>
        <v>0.98370957251099134</v>
      </c>
      <c r="L1864" s="1" cm="1">
        <f t="array" ref="L1864">SUMPRODUCT(([2]OUT_FinalEnergyCons!$B$4:$B$10000="Var_cap")*1,  (ISNUMBER(SEARCH("ITOT-SWHELCBR",[2]OUT_FinalEnergyCons!$A$4:$A$10000)))*1,[2]OUT_FinalEnergyCons!J$4:J$10000)</f>
        <v>1.0522117874916335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7.9896500982636717E-2</v>
      </c>
      <c r="H1865" s="1" cm="1">
        <f t="array" ref="H1865">SUMPRODUCT(([1]OUT_FinalEnergyCons!$B$4:$B$10000="Var_cap")*1,  (ISNUMBER(SEARCH("ITOT-SWHELCHP",[1]OUT_FinalEnergyCons!$A$4:$A$10000)))*1,[1]OUT_FinalEnergyCons!F$4:F$10000)</f>
        <v>0.14448120733309161</v>
      </c>
      <c r="I1865" s="1" cm="1">
        <f t="array" ref="I1865">SUMPRODUCT(([1]OUT_FinalEnergyCons!$B$4:$B$10000="Var_cap")*1,  (ISNUMBER(SEARCH("ITOT-SWHELCHP",[1]OUT_FinalEnergyCons!$A$4:$A$10000)))*1,[1]OUT_FinalEnergyCons!G$4:G$10000)</f>
        <v>0.33492623162922935</v>
      </c>
      <c r="J1865" s="1" cm="1">
        <f t="array" ref="J1865">SUMPRODUCT(([2]OUT_FinalEnergyCons!$B$4:$B$10000="Var_cap")*1,  (ISNUMBER(SEARCH("ITOT-SWHELCHP",[2]OUT_FinalEnergyCons!$A$4:$A$10000)))*1,[2]OUT_FinalEnergyCons!H$4:H$10000)</f>
        <v>0.46162859599883099</v>
      </c>
      <c r="K1865" s="1" cm="1">
        <f t="array" ref="K1865">SUMPRODUCT(([2]OUT_FinalEnergyCons!$B$4:$B$10000="Var_cap")*1,  (ISNUMBER(SEARCH("ITOT-SWHELCHP",[2]OUT_FinalEnergyCons!$A$4:$A$10000)))*1,[2]OUT_FinalEnergyCons!I$4:I$10000)</f>
        <v>0.53168428753996999</v>
      </c>
      <c r="L1865" s="1" cm="1">
        <f t="array" ref="L1865">SUMPRODUCT(([2]OUT_FinalEnergyCons!$B$4:$B$10000="Var_cap")*1,  (ISNUMBER(SEARCH("ITOT-SWHELCHP",[2]OUT_FinalEnergyCons!$A$4:$A$10000)))*1,[2]OUT_FinalEnergyCons!J$4:J$10000)</f>
        <v>0.73205481534389605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0.49044499905522643</v>
      </c>
      <c r="G1866" s="18">
        <f t="shared" ref="G1866:K1866" si="1981">SUM(G1867:G1868)</f>
        <v>0.49850662376933336</v>
      </c>
      <c r="H1866" s="18">
        <f t="shared" si="1981"/>
        <v>0.39584908037687749</v>
      </c>
      <c r="I1866" s="18">
        <f t="shared" si="1981"/>
        <v>0.39024382543056135</v>
      </c>
      <c r="J1866" s="18">
        <f t="shared" si="1981"/>
        <v>0.26585671023965496</v>
      </c>
      <c r="K1866" s="18">
        <f t="shared" si="1981"/>
        <v>0.17221305510511328</v>
      </c>
      <c r="L1866" s="18">
        <f t="shared" ref="L1866" si="1982">SUM(L1867:L1868)</f>
        <v>1.4243888447939598E-2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0.38411922150184863</v>
      </c>
      <c r="H1867" s="1" cm="1">
        <f t="array" ref="H1867">SUMPRODUCT(([1]OUT_FinalEnergyCons!$B$4:$B$10000="Var_cap")*1,  (ISNUMBER(SEARCH("ITOT-SWHLFOBR",[1]OUT_FinalEnergyCons!$A$4:$A$10000)))*1,[1]OUT_FinalEnergyCons!F$4:F$10000)</f>
        <v>0.3927695108812071</v>
      </c>
      <c r="I1867" s="1" cm="1">
        <f t="array" ref="I1867">SUMPRODUCT(([1]OUT_FinalEnergyCons!$B$4:$B$10000="Var_cap")*1,  (ISNUMBER(SEARCH("ITOT-SWHLFOBR",[1]OUT_FinalEnergyCons!$A$4:$A$10000)))*1,[1]OUT_FinalEnergyCons!G$4:G$10000)</f>
        <v>0.38994178396841428</v>
      </c>
      <c r="J1867" s="1" cm="1">
        <f t="array" ref="J1867">SUMPRODUCT(([2]OUT_FinalEnergyCons!$B$4:$B$10000="Var_cap")*1,  (ISNUMBER(SEARCH("ITOT-SWHLFOBR",[2]OUT_FinalEnergyCons!$A$4:$A$10000)))*1,[2]OUT_FinalEnergyCons!H$4:H$10000)</f>
        <v>0.26539954552371753</v>
      </c>
      <c r="K1867" s="1" cm="1">
        <f t="array" ref="K1867">SUMPRODUCT(([2]OUT_FinalEnergyCons!$B$4:$B$10000="Var_cap")*1,  (ISNUMBER(SEARCH("ITOT-SWHLFOBR",[2]OUT_FinalEnergyCons!$A$4:$A$10000)))*1,[2]OUT_FinalEnergyCons!I$4:I$10000)</f>
        <v>0.17217990962446669</v>
      </c>
      <c r="L1867" s="1" cm="1">
        <f t="array" ref="L1867">SUMPRODUCT(([2]OUT_FinalEnergyCons!$B$4:$B$10000="Var_cap")*1,  (ISNUMBER(SEARCH("ITOT-SWHLFOBR",[2]OUT_FinalEnergyCons!$A$4:$A$10000)))*1,[2]OUT_FinalEnergyCons!J$4:J$10000)</f>
        <v>1.4243888447939598E-2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0.11410955942439441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0.11438740226748473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3.0795694956704117E-3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3.0204146214710126E-4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4.5716471593741648E-4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3.3145480646604001E-5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1.5667014760120115</v>
      </c>
      <c r="H1869" s="18">
        <f t="shared" si="1985"/>
        <v>1.570606625309656</v>
      </c>
      <c r="I1869" s="18">
        <f t="shared" si="1985"/>
        <v>1.4087830258302763</v>
      </c>
      <c r="J1869" s="18">
        <f t="shared" si="1985"/>
        <v>0.56915805679212261</v>
      </c>
      <c r="K1869" s="18">
        <f t="shared" si="1985"/>
        <v>0.28073422036028683</v>
      </c>
      <c r="L1869" s="18">
        <f t="shared" ref="L1869" si="1986">SUM(L1870:L1871)</f>
        <v>7.6133280558826205E-2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1.5604062537101038</v>
      </c>
      <c r="H1870" s="1" cm="1">
        <f t="array" ref="H1870">SUMPRODUCT(([1]OUT_FinalEnergyCons!$B$4:$B$10000="Var_cap")*1,  (ISNUMBER(SEARCH("ITOT-SWHNGA*BR",[1]OUT_FinalEnergyCons!$A$4:$A$10000)))*1,[1]OUT_FinalEnergyCons!F$4:F$10000)</f>
        <v>1.5642058755060602</v>
      </c>
      <c r="I1870" s="1" cm="1">
        <f t="array" ref="I1870">SUMPRODUCT(([1]OUT_FinalEnergyCons!$B$4:$B$10000="Var_cap")*1,  (ISNUMBER(SEARCH("ITOT-SWHNGA*BR",[1]OUT_FinalEnergyCons!$A$4:$A$10000)))*1,[1]OUT_FinalEnergyCons!G$4:G$10000)</f>
        <v>1.4059536311602332</v>
      </c>
      <c r="J1870" s="1" cm="1">
        <f t="array" ref="J1870">SUMPRODUCT(([2]OUT_FinalEnergyCons!$B$4:$B$10000="Var_cap")*1,  (ISNUMBER(SEARCH("ITOT-SWHNGA*BR",[2]OUT_FinalEnergyCons!$A$4:$A$10000)))*1,[2]OUT_FinalEnergyCons!H$4:H$10000)</f>
        <v>0.56863902563877577</v>
      </c>
      <c r="K1870" s="1" cm="1">
        <f t="array" ref="K1870">SUMPRODUCT(([2]OUT_FinalEnergyCons!$B$4:$B$10000="Var_cap")*1,  (ISNUMBER(SEARCH("ITOT-SWHNGA*BR",[2]OUT_FinalEnergyCons!$A$4:$A$10000)))*1,[2]OUT_FinalEnergyCons!I$4:I$10000)</f>
        <v>0.28043183519927023</v>
      </c>
      <c r="L1870" s="1" cm="1">
        <f t="array" ref="L1870">SUMPRODUCT(([2]OUT_FinalEnergyCons!$B$4:$B$10000="Var_cap")*1,  (ISNUMBER(SEARCH("ITOT-SWHNGA*BR",[2]OUT_FinalEnergyCons!$A$4:$A$10000)))*1,[2]OUT_FinalEnergyCons!J$4:J$10000)</f>
        <v>7.5959942588164991E-2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6.2952223019076096E-3</v>
      </c>
      <c r="H1871" s="1" cm="1">
        <f t="array" ref="H1871">SUMPRODUCT(([1]OUT_FinalEnergyCons!$B$4:$B$10000="Var_cap")*1,  (ISNUMBER(SEARCH("ITOT-SWHNGAHP",[1]OUT_FinalEnergyCons!$A$4:$A$10000)))*1,[1]OUT_FinalEnergyCons!F$4:F$10000)</f>
        <v>6.4007498035958616E-3</v>
      </c>
      <c r="I1871" s="1" cm="1">
        <f t="array" ref="I1871">SUMPRODUCT(([1]OUT_FinalEnergyCons!$B$4:$B$10000="Var_cap")*1,  (ISNUMBER(SEARCH("ITOT-SWHNGAHP",[1]OUT_FinalEnergyCons!$A$4:$A$10000)))*1,[1]OUT_FinalEnergyCons!G$4:G$10000)</f>
        <v>2.8293946700429897E-3</v>
      </c>
      <c r="J1871" s="1" cm="1">
        <f t="array" ref="J1871">SUMPRODUCT(([2]OUT_FinalEnergyCons!$B$4:$B$10000="Var_cap")*1,  (ISNUMBER(SEARCH("ITOT-SWHNGAHP",[2]OUT_FinalEnergyCons!$A$4:$A$10000)))*1,[2]OUT_FinalEnergyCons!H$4:H$10000)</f>
        <v>5.1903115334687609E-4</v>
      </c>
      <c r="K1871" s="1" cm="1">
        <f t="array" ref="K1871">SUMPRODUCT(([2]OUT_FinalEnergyCons!$B$4:$B$10000="Var_cap")*1,  (ISNUMBER(SEARCH("ITOT-SWHNGAHP",[2]OUT_FinalEnergyCons!$A$4:$A$10000)))*1,[2]OUT_FinalEnergyCons!I$4:I$10000)</f>
        <v>3.0238516101658311E-4</v>
      </c>
      <c r="L1871" s="1" cm="1">
        <f t="array" ref="L1871">SUMPRODUCT(([2]OUT_FinalEnergyCons!$B$4:$B$10000="Var_cap")*1,  (ISNUMBER(SEARCH("ITOT-SWHNGAHP",[2]OUT_FinalEnergyCons!$A$4:$A$10000)))*1,[2]OUT_FinalEnergyCons!J$4:J$10000)</f>
        <v>1.733379706612195E-4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3.3023683413623328E-2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0.10378587035716326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0.13750134252111448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0.19810905821475019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0.24939046322678088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0.30105502950041069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0.19891397974106109</v>
      </c>
      <c r="H1873" s="1">
        <f t="shared" si="1987"/>
        <v>8.1722366375689415E-3</v>
      </c>
      <c r="I1873" s="1">
        <f t="shared" si="1987"/>
        <v>2.8005988363022372E-4</v>
      </c>
      <c r="J1873" s="1">
        <f t="shared" si="1987"/>
        <v>2.9171329158080017E-4</v>
      </c>
      <c r="K1873" s="1">
        <f t="shared" si="1987"/>
        <v>3.206111632570298E-5</v>
      </c>
      <c r="L1873" s="1">
        <f t="shared" si="1987"/>
        <v>7.1967193923999835E-7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0.19891397974106109</v>
      </c>
      <c r="H1874" s="1" cm="1">
        <f t="array" ref="H1874">SUMPRODUCT(([1]OUT_FinalEnergyCons!$B$4:$B$10000="Var_cap")*1,  (ISNUMBER(SEARCH("ITOT-SWHCOA*BR",[1]OUT_FinalEnergyCons!$A$4:$A$10000)))*1,[1]OUT_FinalEnergyCons!F$4:F$10000)</f>
        <v>8.1722366375689415E-3</v>
      </c>
      <c r="I1874" s="1" cm="1">
        <f t="array" ref="I1874">SUMPRODUCT(([1]OUT_FinalEnergyCons!$B$4:$B$10000="Var_cap")*1,  (ISNUMBER(SEARCH("ITOT-SWHCOA*BR",[1]OUT_FinalEnergyCons!$A$4:$A$10000)))*1,[1]OUT_FinalEnergyCons!G$4:G$10000)</f>
        <v>2.8005988363022372E-4</v>
      </c>
      <c r="J1874" s="1" cm="1">
        <f t="array" ref="J1874">SUMPRODUCT(([2]OUT_FinalEnergyCons!$B$4:$B$10000="Var_cap")*1,  (ISNUMBER(SEARCH("ITOT-SWHCOA*BR",[2]OUT_FinalEnergyCons!$A$4:$A$10000)))*1,[2]OUT_FinalEnergyCons!H$4:H$10000)</f>
        <v>2.9171329158080017E-4</v>
      </c>
      <c r="K1874" s="1" cm="1">
        <f t="array" ref="K1874">SUMPRODUCT(([2]OUT_FinalEnergyCons!$B$4:$B$10000="Var_cap")*1,  (ISNUMBER(SEARCH("ITOT-SWHCOA*BR",[2]OUT_FinalEnergyCons!$A$4:$A$10000)))*1,[2]OUT_FinalEnergyCons!I$4:I$10000)</f>
        <v>3.206111632570298E-5</v>
      </c>
      <c r="L1874" s="1" cm="1">
        <f t="array" ref="L1874">SUMPRODUCT(([2]OUT_FinalEnergyCons!$B$4:$B$10000="Var_cap")*1,  (ISNUMBER(SEARCH("ITOT-SWHCOA*BR",[2]OUT_FinalEnergyCons!$A$4:$A$10000)))*1,[2]OUT_FinalEnergyCons!J$4:J$10000)</f>
        <v>7.1967193923999835E-7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0.35240362414318316</v>
      </c>
      <c r="H1875" s="1">
        <f t="shared" si="1988"/>
        <v>0.36089397121930999</v>
      </c>
      <c r="I1875" s="1">
        <f t="shared" si="1988"/>
        <v>0.39678254150031977</v>
      </c>
      <c r="J1875" s="1">
        <f t="shared" si="1988"/>
        <v>0.42838158292510986</v>
      </c>
      <c r="K1875" s="1">
        <f t="shared" si="1988"/>
        <v>0.36102388966673887</v>
      </c>
      <c r="L1875" s="1">
        <f t="shared" si="1988"/>
        <v>0.39551360921220657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0.35240362414318316</v>
      </c>
      <c r="H1876" s="1" cm="1">
        <f t="array" ref="H1876">SUMPRODUCT(([1]OUT_FinalEnergyCons!$B$4:$B$10000="Var_cap")*1,  (ISNUMBER(SEARCH("ITOT-SWHWOD*BR",[1]OUT_FinalEnergyCons!$A$4:$A$10000)))*1,[1]OUT_FinalEnergyCons!F$4:F$10000)</f>
        <v>0.36089397121930999</v>
      </c>
      <c r="I1876" s="1" cm="1">
        <f t="array" ref="I1876">SUMPRODUCT(([1]OUT_FinalEnergyCons!$B$4:$B$10000="Var_cap")*1,  (ISNUMBER(SEARCH("ITOT-SWHWOD*BR",[1]OUT_FinalEnergyCons!$A$4:$A$10000)))*1,[1]OUT_FinalEnergyCons!G$4:G$10000)</f>
        <v>0.39678254150031977</v>
      </c>
      <c r="J1876" s="1" cm="1">
        <f t="array" ref="J1876">SUMPRODUCT(([2]OUT_FinalEnergyCons!$B$4:$B$10000="Var_cap")*1,  (ISNUMBER(SEARCH("ITOT-SWHWOD*BR",[2]OUT_FinalEnergyCons!$A$4:$A$10000)))*1,[2]OUT_FinalEnergyCons!H$4:H$10000)</f>
        <v>0.42838158292510986</v>
      </c>
      <c r="K1876" s="1" cm="1">
        <f t="array" ref="K1876">SUMPRODUCT(([2]OUT_FinalEnergyCons!$B$4:$B$10000="Var_cap")*1,  (ISNUMBER(SEARCH("ITOT-SWHWOD*BR",[2]OUT_FinalEnergyCons!$A$4:$A$10000)))*1,[2]OUT_FinalEnergyCons!I$4:I$10000)</f>
        <v>0.36102388966673887</v>
      </c>
      <c r="L1876" s="1" cm="1">
        <f t="array" ref="L1876">SUMPRODUCT(([2]OUT_FinalEnergyCons!$B$4:$B$10000="Var_cap")*1,  (ISNUMBER(SEARCH("ITOT-SWHWOD*BR",[2]OUT_FinalEnergyCons!$A$4:$A$10000)))*1,[2]OUT_FinalEnergyCons!J$4:J$10000)</f>
        <v>0.39551360921220657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4.0362078771685593E-2</v>
      </c>
      <c r="H1877" s="1">
        <f t="shared" si="1989"/>
        <v>4.2730081397943251E-2</v>
      </c>
      <c r="I1877" s="1">
        <f t="shared" si="1989"/>
        <v>4.4468930722632229E-2</v>
      </c>
      <c r="J1877" s="1">
        <f t="shared" si="1989"/>
        <v>4.1988945234814876E-2</v>
      </c>
      <c r="K1877" s="1">
        <f t="shared" si="1989"/>
        <v>4.3584655605686737E-2</v>
      </c>
      <c r="L1877" s="1">
        <f t="shared" si="1989"/>
        <v>4.2806725360743994E-2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4.0362078771685593E-2</v>
      </c>
      <c r="H1878" s="1" cm="1">
        <f t="array" ref="H1878">SUMPRODUCT(([1]OUT_FinalEnergyCons!$B$4:$B$10000="Var_cap")*1,  (ISNUMBER(SEARCH("ITOT-SWHPLT*BR",[1]OUT_FinalEnergyCons!$A$4:$A$10000)))*1,[1]OUT_FinalEnergyCons!F$4:F$10000)</f>
        <v>4.2730081397943251E-2</v>
      </c>
      <c r="I1878" s="1" cm="1">
        <f t="array" ref="I1878">SUMPRODUCT(([1]OUT_FinalEnergyCons!$B$4:$B$10000="Var_cap")*1,  (ISNUMBER(SEARCH("ITOT-SWHPLT*BR",[1]OUT_FinalEnergyCons!$A$4:$A$10000)))*1,[1]OUT_FinalEnergyCons!G$4:G$10000)</f>
        <v>4.4468930722632229E-2</v>
      </c>
      <c r="J1878" s="1" cm="1">
        <f t="array" ref="J1878">SUMPRODUCT(([2]OUT_FinalEnergyCons!$B$4:$B$10000="Var_cap")*1,  (ISNUMBER(SEARCH("ITOT-SWHPLT*BR",[2]OUT_FinalEnergyCons!$A$4:$A$10000)))*1,[2]OUT_FinalEnergyCons!H$4:H$10000)</f>
        <v>4.1988945234814876E-2</v>
      </c>
      <c r="K1878" s="1" cm="1">
        <f t="array" ref="K1878">SUMPRODUCT(([2]OUT_FinalEnergyCons!$B$4:$B$10000="Var_cap")*1,  (ISNUMBER(SEARCH("ITOT-SWHPLT*BR",[2]OUT_FinalEnergyCons!$A$4:$A$10000)))*1,[2]OUT_FinalEnergyCons!I$4:I$10000)</f>
        <v>4.3584655605686737E-2</v>
      </c>
      <c r="L1878" s="1" cm="1">
        <f t="array" ref="L1878">SUMPRODUCT(([2]OUT_FinalEnergyCons!$B$4:$B$10000="Var_cap")*1,  (ISNUMBER(SEARCH("ITOT-SWHPLT*BR",[2]OUT_FinalEnergyCons!$A$4:$A$10000)))*1,[2]OUT_FinalEnergyCons!J$4:J$10000)</f>
        <v>4.2806725360743994E-2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0.35972166923393006</v>
      </c>
      <c r="H1879" s="1">
        <f t="shared" si="1990"/>
        <v>0.3627477669035265</v>
      </c>
      <c r="I1879" s="1">
        <f t="shared" si="1990"/>
        <v>0.3624702228908267</v>
      </c>
      <c r="J1879" s="1">
        <f t="shared" si="1990"/>
        <v>0.33293661578895001</v>
      </c>
      <c r="K1879" s="1">
        <f t="shared" si="1990"/>
        <v>0.32197030942606009</v>
      </c>
      <c r="L1879" s="1">
        <f t="shared" si="1990"/>
        <v>0.20924669349604255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0.35972166923393006</v>
      </c>
      <c r="H1880" s="1" cm="1">
        <f t="array" ref="H1880">SUMPRODUCT(([1]OUT_FinalEnergyCons!$B$4:$B$10000="Var_cap")*1,  (ISNUMBER(SEARCH("ITOT-SWHWST*BR",[1]OUT_FinalEnergyCons!$A$4:$A$10000)))*1,[1]OUT_FinalEnergyCons!F$4:F$10000)</f>
        <v>0.3627477669035265</v>
      </c>
      <c r="I1880" s="1" cm="1">
        <f t="array" ref="I1880">SUMPRODUCT(([1]OUT_FinalEnergyCons!$B$4:$B$10000="Var_cap")*1,  (ISNUMBER(SEARCH("ITOT-SWHWST*BR",[1]OUT_FinalEnergyCons!$A$4:$A$10000)))*1,[1]OUT_FinalEnergyCons!G$4:G$10000)</f>
        <v>0.3624702228908267</v>
      </c>
      <c r="J1880" s="1" cm="1">
        <f t="array" ref="J1880">SUMPRODUCT(([2]OUT_FinalEnergyCons!$B$4:$B$10000="Var_cap")*1,  (ISNUMBER(SEARCH("ITOT-SWHWST*BR",[2]OUT_FinalEnergyCons!$A$4:$A$10000)))*1,[2]OUT_FinalEnergyCons!H$4:H$10000)</f>
        <v>0.33293661578895001</v>
      </c>
      <c r="K1880" s="1" cm="1">
        <f t="array" ref="K1880">SUMPRODUCT(([2]OUT_FinalEnergyCons!$B$4:$B$10000="Var_cap")*1,  (ISNUMBER(SEARCH("ITOT-SWHWST*BR",[2]OUT_FinalEnergyCons!$A$4:$A$10000)))*1,[2]OUT_FinalEnergyCons!I$4:I$10000)</f>
        <v>0.32197030942606009</v>
      </c>
      <c r="L1880" s="1" cm="1">
        <f t="array" ref="L1880">SUMPRODUCT(([2]OUT_FinalEnergyCons!$B$4:$B$10000="Var_cap")*1,  (ISNUMBER(SEARCH("ITOT-SWHWST*BR",[2]OUT_FinalEnergyCons!$A$4:$A$10000)))*1,[2]OUT_FinalEnergyCons!J$4:J$10000)</f>
        <v>0.20924669349604255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0.35295475498380796</v>
      </c>
      <c r="H1881" s="1">
        <f t="shared" si="1991"/>
        <v>0.35295563986406198</v>
      </c>
      <c r="I1881" s="1">
        <f t="shared" si="1991"/>
        <v>0.35295669300295796</v>
      </c>
      <c r="J1881" s="1">
        <f t="shared" si="1991"/>
        <v>0.21301927922747357</v>
      </c>
      <c r="K1881" s="1">
        <f t="shared" si="1991"/>
        <v>0.21301584308011801</v>
      </c>
      <c r="L1881" s="1">
        <f t="shared" si="1991"/>
        <v>0.213012704885821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0.35295475498380796</v>
      </c>
      <c r="H1882" s="1" cm="1">
        <f t="array" ref="H1882">SUMPRODUCT(([1]OUT_FinalEnergyCons!$B$4:$B$10000="Var_cap")*1, (ISNUMBER(SEARCH("ITOT-SWHSOLBR",[1]OUT_FinalEnergyCons!$A$4:$A$10000)))*1,[1]OUT_FinalEnergyCons!F$4:F$10000)</f>
        <v>0.35295563986406198</v>
      </c>
      <c r="I1882" s="1" cm="1">
        <f t="array" ref="I1882">SUMPRODUCT(([1]OUT_FinalEnergyCons!$B$4:$B$10000="Var_cap")*1, (ISNUMBER(SEARCH("ITOT-SWHSOLBR",[1]OUT_FinalEnergyCons!$A$4:$A$10000)))*1,[1]OUT_FinalEnergyCons!G$4:G$10000)</f>
        <v>0.35295669300295796</v>
      </c>
      <c r="J1882" s="1" cm="1">
        <f t="array" ref="J1882">SUMPRODUCT(([2]OUT_FinalEnergyCons!$B$4:$B$10000="Var_cap")*1, (ISNUMBER(SEARCH("ITOT-SWHSOLBR",[2]OUT_FinalEnergyCons!$A$4:$A$10000)))*1,[2]OUT_FinalEnergyCons!H$4:H$10000)</f>
        <v>0.21301927922747357</v>
      </c>
      <c r="K1882" s="1" cm="1">
        <f t="array" ref="K1882">SUMPRODUCT(([2]OUT_FinalEnergyCons!$B$4:$B$10000="Var_cap")*1, (ISNUMBER(SEARCH("ITOT-SWHSOLBR",[2]OUT_FinalEnergyCons!$A$4:$A$10000)))*1,[2]OUT_FinalEnergyCons!I$4:I$10000)</f>
        <v>0.21301584308011801</v>
      </c>
      <c r="L1882" s="1" cm="1">
        <f t="array" ref="L1882">SUMPRODUCT(([2]OUT_FinalEnergyCons!$B$4:$B$10000="Var_cap")*1, (ISNUMBER(SEARCH("ITOT-SWHSOLBR",[2]OUT_FinalEnergyCons!$A$4:$A$10000)))*1,[2]OUT_FinalEnergyCons!J$4:J$10000)</f>
        <v>0.213012704885821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0</v>
      </c>
      <c r="J1883" s="1">
        <f t="shared" si="1992"/>
        <v>0.59917465323255303</v>
      </c>
      <c r="K1883" s="1">
        <f t="shared" si="1992"/>
        <v>0.65877684858844876</v>
      </c>
      <c r="L1883" s="1">
        <f t="shared" si="1992"/>
        <v>0.62510917413736933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0.59917465323255303</v>
      </c>
      <c r="K1884" s="1" cm="1">
        <f t="array" ref="K1884">SUMPRODUCT(([2]OUT_FinalEnergyCons!$B$4:$B$10000="Var_cap")*1, (ISNUMBER(SEARCH("ITOT-SWHH2BR",[2]OUT_FinalEnergyCons!$A$4:$A$10000)))*1,[2]OUT_FinalEnergyCons!I$4:I$10000)</f>
        <v>0.65877684858844876</v>
      </c>
      <c r="L1884" s="1" cm="1">
        <f t="array" ref="L1884">SUMPRODUCT(([2]OUT_FinalEnergyCons!$B$4:$B$10000="Var_cap")*1, (ISNUMBER(SEARCH("ITOT-SWHH2BR",[2]OUT_FinalEnergyCons!$A$4:$A$10000)))*1,[2]OUT_FinalEnergyCons!J$4:J$10000)</f>
        <v>0.62510917413736933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6.1446799839116268</v>
      </c>
      <c r="G1885" s="17">
        <f t="shared" ref="G1885:K1885" si="1993">SUM(G1886,G1889,G1891,G1895,G1897,G1899,G1901)</f>
        <v>5.9017206401676399</v>
      </c>
      <c r="H1885" s="17">
        <f t="shared" si="1993"/>
        <v>5.6685198679802156</v>
      </c>
      <c r="I1885" s="17">
        <f t="shared" si="1993"/>
        <v>6.1621914730770904</v>
      </c>
      <c r="J1885" s="17">
        <f t="shared" si="1993"/>
        <v>4.5523195555829039</v>
      </c>
      <c r="K1885" s="17">
        <f t="shared" si="1993"/>
        <v>4.6746037670537683</v>
      </c>
      <c r="L1885" s="17">
        <f t="shared" ref="L1885" si="1994">SUM(L1886,L1889,L1891,L1895,L1897,L1899,L1901)</f>
        <v>4.3330429176896557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0.61570884020246319</v>
      </c>
      <c r="G1886" s="1">
        <f t="shared" ref="G1886:K1886" si="1995">SUM(G1887:G1888)</f>
        <v>0.51217596557686984</v>
      </c>
      <c r="H1886" s="1">
        <f t="shared" si="1995"/>
        <v>0.5039183831589481</v>
      </c>
      <c r="I1886" s="1">
        <f t="shared" si="1995"/>
        <v>0.67456292919835825</v>
      </c>
      <c r="J1886" s="1">
        <f t="shared" si="1995"/>
        <v>0.94184894212437564</v>
      </c>
      <c r="K1886" s="1">
        <f t="shared" si="1995"/>
        <v>1.2543326813576068</v>
      </c>
      <c r="L1886" s="1">
        <f t="shared" ref="L1886" si="1996">SUM(L1887:L1888)</f>
        <v>1.5015054106564933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0.18508487809019883</v>
      </c>
      <c r="G1887" s="1" cm="1">
        <f t="array" ref="G1887">SUMPRODUCT(([1]OUT_FinalEnergyCons!$B$4:$B$10000="Var_cap")*1, (ISNUMBER(SEARCH("SCOM-SHELCBR",[1]OUT_FinalEnergyCons!$A$4:$A$10000)))*1,[1]OUT_FinalEnergyCons!E$4:E$10000)</f>
        <v>8.1554873922687815E-2</v>
      </c>
      <c r="H1887" s="1" cm="1">
        <f t="array" ref="H1887">SUMPRODUCT(([1]OUT_FinalEnergyCons!$B$4:$B$10000="Var_cap")*1, (ISNUMBER(SEARCH("SCOM-SHELCBR",[1]OUT_FinalEnergyCons!$A$4:$A$10000)))*1,[1]OUT_FinalEnergyCons!F$4:F$10000)</f>
        <v>7.32616740861914E-2</v>
      </c>
      <c r="I1887" s="1" cm="1">
        <f t="array" ref="I1887">SUMPRODUCT(([1]OUT_FinalEnergyCons!$B$4:$B$10000="Var_cap")*1, (ISNUMBER(SEARCH("SCOM-SHELCBR",[1]OUT_FinalEnergyCons!$A$4:$A$10000)))*1,[1]OUT_FinalEnergyCons!G$4:G$10000)</f>
        <v>4.1944413715354539E-2</v>
      </c>
      <c r="J1887" s="1" cm="1">
        <f t="array" ref="J1887">SUMPRODUCT(([2]OUT_FinalEnergyCons!$B$4:$B$10000="Var_cap")*1, (ISNUMBER(SEARCH("SCOM-SHELCBR",[2]OUT_FinalEnergyCons!$A$4:$A$10000)))*1,[2]OUT_FinalEnergyCons!H$4:H$10000)</f>
        <v>3.4145228077626995E-2</v>
      </c>
      <c r="K1887" s="1" cm="1">
        <f t="array" ref="K1887">SUMPRODUCT(([2]OUT_FinalEnergyCons!$B$4:$B$10000="Var_cap")*1, (ISNUMBER(SEARCH("SCOM-SHELCBR",[2]OUT_FinalEnergyCons!$A$4:$A$10000)))*1,[2]OUT_FinalEnergyCons!I$4:I$10000)</f>
        <v>2.4852014132154109E-2</v>
      </c>
      <c r="L1887" s="1" cm="1">
        <f t="array" ref="L1887">SUMPRODUCT(([2]OUT_FinalEnergyCons!$B$4:$B$10000="Var_cap")*1, (ISNUMBER(SEARCH("SCOM-SHELCBR",[2]OUT_FinalEnergyCons!$A$4:$A$10000)))*1,[2]OUT_FinalEnergyCons!J$4:J$10000)</f>
        <v>1.8125280584476808E-2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0.43062396211226439</v>
      </c>
      <c r="G1888" s="1" cm="1">
        <f t="array" ref="G1888">SUMPRODUCT(([1]OUT_FinalEnergyCons!$B$4:$B$10000="Var_cap")*1, (ISNUMBER(SEARCH("SCOM-SHELCHP",[1]OUT_FinalEnergyCons!$A$4:$A$10000)))*1,[1]OUT_FinalEnergyCons!E$4:E$10000)</f>
        <v>0.43062109165418205</v>
      </c>
      <c r="H1888" s="1" cm="1">
        <f t="array" ref="H1888">SUMPRODUCT(([1]OUT_FinalEnergyCons!$B$4:$B$10000="Var_cap")*1, (ISNUMBER(SEARCH("SCOM-SHELCHP",[1]OUT_FinalEnergyCons!$A$4:$A$10000)))*1,[1]OUT_FinalEnergyCons!F$4:F$10000)</f>
        <v>0.43065670907275672</v>
      </c>
      <c r="I1888" s="1" cm="1">
        <f t="array" ref="I1888">SUMPRODUCT(([1]OUT_FinalEnergyCons!$B$4:$B$10000="Var_cap")*1, (ISNUMBER(SEARCH("SCOM-SHELCHP",[1]OUT_FinalEnergyCons!$A$4:$A$10000)))*1,[1]OUT_FinalEnergyCons!G$4:G$10000)</f>
        <v>0.63261851548300374</v>
      </c>
      <c r="J1888" s="1" cm="1">
        <f t="array" ref="J1888">SUMPRODUCT(([2]OUT_FinalEnergyCons!$B$4:$B$10000="Var_cap")*1, (ISNUMBER(SEARCH("SCOM-SHELCHP",[2]OUT_FinalEnergyCons!$A$4:$A$10000)))*1,[2]OUT_FinalEnergyCons!H$4:H$10000)</f>
        <v>0.90770371404674866</v>
      </c>
      <c r="K1888" s="1" cm="1">
        <f t="array" ref="K1888">SUMPRODUCT(([2]OUT_FinalEnergyCons!$B$4:$B$10000="Var_cap")*1, (ISNUMBER(SEARCH("SCOM-SHELCHP",[2]OUT_FinalEnergyCons!$A$4:$A$10000)))*1,[2]OUT_FinalEnergyCons!I$4:I$10000)</f>
        <v>1.2294806672254526</v>
      </c>
      <c r="L1888" s="1" cm="1">
        <f t="array" ref="L1888">SUMPRODUCT(([2]OUT_FinalEnergyCons!$B$4:$B$10000="Var_cap")*1, (ISNUMBER(SEARCH("SCOM-SHELCHP",[2]OUT_FinalEnergyCons!$A$4:$A$10000)))*1,[2]OUT_FinalEnergyCons!J$4:J$10000)</f>
        <v>1.4833801300720166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1.9286181872626562</v>
      </c>
      <c r="G1889" s="1">
        <f t="shared" ref="G1889:L1889" si="1999">G1890</f>
        <v>1.7632298083626252</v>
      </c>
      <c r="H1889" s="1">
        <f t="shared" si="1999"/>
        <v>1.739096190723606</v>
      </c>
      <c r="I1889" s="1">
        <f t="shared" si="1999"/>
        <v>1.7364734098863761</v>
      </c>
      <c r="J1889" s="1">
        <f t="shared" si="1999"/>
        <v>0.85294436970430387</v>
      </c>
      <c r="K1889" s="1">
        <f t="shared" si="1999"/>
        <v>0.43158874432431682</v>
      </c>
      <c r="L1889" s="1">
        <f t="shared" si="1999"/>
        <v>0.17707281141185721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1.9286181872626562</v>
      </c>
      <c r="G1890" s="1" cm="1">
        <f t="array" ref="G1890">SUMPRODUCT(([1]OUT_FinalEnergyCons!$B$4:$B$10000="Var_cap")*1,(ISNUMBER(SEARCH("SCOM-SHLFOBR",[1]OUT_FinalEnergyCons!$A$4:$A$10000)))*1,[1]OUT_FinalEnergyCons!E$4:E$10000)</f>
        <v>1.7632298083626252</v>
      </c>
      <c r="H1890" s="1" cm="1">
        <f t="array" ref="H1890">SUMPRODUCT(([1]OUT_FinalEnergyCons!$B$4:$B$10000="Var_cap")*1,(ISNUMBER(SEARCH("SCOM-SHLFOBR",[1]OUT_FinalEnergyCons!$A$4:$A$10000)))*1,[1]OUT_FinalEnergyCons!F$4:F$10000)</f>
        <v>1.739096190723606</v>
      </c>
      <c r="I1890" s="1" cm="1">
        <f t="array" ref="I1890">SUMPRODUCT(([1]OUT_FinalEnergyCons!$B$4:$B$10000="Var_cap")*1,(ISNUMBER(SEARCH("SCOM-SHLFOBR",[1]OUT_FinalEnergyCons!$A$4:$A$10000)))*1,[1]OUT_FinalEnergyCons!G$4:G$10000)</f>
        <v>1.7364734098863761</v>
      </c>
      <c r="J1890" s="1" cm="1">
        <f t="array" ref="J1890">SUMPRODUCT(([2]OUT_FinalEnergyCons!$B$4:$B$10000="Var_cap")*1,(ISNUMBER(SEARCH("SCOM-SHLFOBR",[2]OUT_FinalEnergyCons!$A$4:$A$10000)))*1,[2]OUT_FinalEnergyCons!H$4:H$10000)</f>
        <v>0.85294436970430387</v>
      </c>
      <c r="K1890" s="1" cm="1">
        <f t="array" ref="K1890">SUMPRODUCT(([2]OUT_FinalEnergyCons!$B$4:$B$10000="Var_cap")*1,(ISNUMBER(SEARCH("SCOM-SHLFOBR",[2]OUT_FinalEnergyCons!$A$4:$A$10000)))*1,[2]OUT_FinalEnergyCons!I$4:I$10000)</f>
        <v>0.43158874432431682</v>
      </c>
      <c r="L1890" s="1" cm="1">
        <f t="array" ref="L1890">SUMPRODUCT(([2]OUT_FinalEnergyCons!$B$4:$B$10000="Var_cap")*1,(ISNUMBER(SEARCH("SCOM-SHLFOBR",[2]OUT_FinalEnergyCons!$A$4:$A$10000)))*1,[2]OUT_FinalEnergyCons!J$4:J$10000)</f>
        <v>0.17707281141185721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2.8800494018162022</v>
      </c>
      <c r="G1891" s="1">
        <f t="shared" ref="G1891:K1891" si="2003">SUM(G1892:G1894)</f>
        <v>2.870227461918831</v>
      </c>
      <c r="H1891" s="1">
        <f t="shared" si="2003"/>
        <v>2.7450216028520646</v>
      </c>
      <c r="I1891" s="1">
        <f t="shared" si="2003"/>
        <v>3.070580044560431</v>
      </c>
      <c r="J1891" s="1">
        <f t="shared" si="2003"/>
        <v>1.8352477503188798</v>
      </c>
      <c r="K1891" s="1">
        <f t="shared" si="2003"/>
        <v>1.4004745009513231</v>
      </c>
      <c r="L1891" s="1">
        <f t="shared" ref="L1891" si="2004">SUM(L1892:L1894)</f>
        <v>1.1515566605372061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2.7746843991209991</v>
      </c>
      <c r="G1892" s="1" cm="1">
        <f t="array" ref="G1892">SUMPRODUCT(([1]OUT_FinalEnergyCons!$B$4:$B$10000="Var_cap")*1, (ISNUMBER(SEARCH("SCOM-SHNGABR",[1]OUT_FinalEnergyCons!$A$4:$A$10000)))*1,[1]OUT_FinalEnergyCons!E$4:E$10000)</f>
        <v>2.7634927996358405</v>
      </c>
      <c r="H1892" s="1" cm="1">
        <f t="array" ref="H1892">SUMPRODUCT(([1]OUT_FinalEnergyCons!$B$4:$B$10000="Var_cap")*1, (ISNUMBER(SEARCH("SCOM-SHNGABR",[1]OUT_FinalEnergyCons!$A$4:$A$10000)))*1,[1]OUT_FinalEnergyCons!F$4:F$10000)</f>
        <v>2.4548937160890181</v>
      </c>
      <c r="I1892" s="1" cm="1">
        <f t="array" ref="I1892">SUMPRODUCT(([1]OUT_FinalEnergyCons!$B$4:$B$10000="Var_cap")*1, (ISNUMBER(SEARCH("SCOM-SHNGABR",[1]OUT_FinalEnergyCons!$A$4:$A$10000)))*1,[1]OUT_FinalEnergyCons!G$4:G$10000)</f>
        <v>2.4530584458586695</v>
      </c>
      <c r="J1892" s="1" cm="1">
        <f t="array" ref="J1892">SUMPRODUCT(([2]OUT_FinalEnergyCons!$B$4:$B$10000="Var_cap")*1, (ISNUMBER(SEARCH("SCOM-SHNGABR",[2]OUT_FinalEnergyCons!$A$4:$A$10000)))*1,[2]OUT_FinalEnergyCons!H$4:H$10000)</f>
        <v>1.1330573148069676</v>
      </c>
      <c r="K1892" s="1" cm="1">
        <f t="array" ref="K1892">SUMPRODUCT(([2]OUT_FinalEnergyCons!$B$4:$B$10000="Var_cap")*1, (ISNUMBER(SEARCH("SCOM-SHNGABR",[2]OUT_FinalEnergyCons!$A$4:$A$10000)))*1,[2]OUT_FinalEnergyCons!I$4:I$10000)</f>
        <v>0.54318023485127231</v>
      </c>
      <c r="L1892" s="1" cm="1">
        <f t="array" ref="L1892">SUMPRODUCT(([2]OUT_FinalEnergyCons!$B$4:$B$10000="Var_cap")*1, (ISNUMBER(SEARCH("SCOM-SHNGABR",[2]OUT_FinalEnergyCons!$A$4:$A$10000)))*1,[2]OUT_FinalEnergyCons!J$4:J$10000)</f>
        <v>0.24596882369208944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7.2945082589676304E-6</v>
      </c>
      <c r="G1893" s="1" cm="1">
        <f t="array" ref="G1893">SUMPRODUCT(([1]OUT_FinalEnergyCons!$B$4:$B$10000="Var_cap")*1, (ISNUMBER(SEARCH("SCOM-SHngahp",[1]OUT_FinalEnergyCons!$A$4:$A$10000)))*1,[1]OUT_FinalEnergyCons!E$4:E$10000)</f>
        <v>1.1029641355939169E-3</v>
      </c>
      <c r="H1893" s="1" cm="1">
        <f t="array" ref="H1893">SUMPRODUCT(([1]OUT_FinalEnergyCons!$B$4:$B$10000="Var_cap")*1, (ISNUMBER(SEARCH("SCOM-SHngahp",[1]OUT_FinalEnergyCons!$A$4:$A$10000)))*1,[1]OUT_FinalEnergyCons!F$4:F$10000)</f>
        <v>0.18519308585200112</v>
      </c>
      <c r="I1893" s="1" cm="1">
        <f t="array" ref="I1893">SUMPRODUCT(([1]OUT_FinalEnergyCons!$B$4:$B$10000="Var_cap")*1, (ISNUMBER(SEARCH("SCOM-SHngahp",[1]OUT_FinalEnergyCons!$A$4:$A$10000)))*1,[1]OUT_FinalEnergyCons!G$4:G$10000)</f>
        <v>0.51279718208965319</v>
      </c>
      <c r="J1893" s="1" cm="1">
        <f t="array" ref="J1893">SUMPRODUCT(([2]OUT_FinalEnergyCons!$B$4:$B$10000="Var_cap")*1, (ISNUMBER(SEARCH("SCOM-SHngahp",[2]OUT_FinalEnergyCons!$A$4:$A$10000)))*1,[2]OUT_FinalEnergyCons!H$4:H$10000)</f>
        <v>0.67483717394221299</v>
      </c>
      <c r="K1893" s="1" cm="1">
        <f t="array" ref="K1893">SUMPRODUCT(([2]OUT_FinalEnergyCons!$B$4:$B$10000="Var_cap")*1, (ISNUMBER(SEARCH("SCOM-SHngahp",[2]OUT_FinalEnergyCons!$A$4:$A$10000)))*1,[2]OUT_FinalEnergyCons!I$4:I$10000)</f>
        <v>0.85714166931836544</v>
      </c>
      <c r="L1893" s="1" cm="1">
        <f t="array" ref="L1893">SUMPRODUCT(([2]OUT_FinalEnergyCons!$B$4:$B$10000="Var_cap")*1, (ISNUMBER(SEARCH("SCOM-SHngahp",[2]OUT_FinalEnergyCons!$A$4:$A$10000)))*1,[2]OUT_FinalEnergyCons!J$4:J$10000)</f>
        <v>0.90545192048667167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0.10535770818694436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0.10563169814739681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0.10493480091104547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0.10472441661210848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2.7353261569699094E-2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1.5259678168542005E-4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1.3591635844491077E-4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0.47855153906786441</v>
      </c>
      <c r="G1895" s="1">
        <f t="shared" ref="G1895:L1895" si="2009">G1896</f>
        <v>0.47864425585781628</v>
      </c>
      <c r="H1895" s="1">
        <f t="shared" si="2009"/>
        <v>0.52643129802286148</v>
      </c>
      <c r="I1895" s="1">
        <f t="shared" si="2009"/>
        <v>0.52634695596744452</v>
      </c>
      <c r="J1895" s="1">
        <f t="shared" si="2009"/>
        <v>0.44234713766524703</v>
      </c>
      <c r="K1895" s="1">
        <f t="shared" si="2009"/>
        <v>0.37969857520394645</v>
      </c>
      <c r="L1895" s="1">
        <f t="shared" si="2009"/>
        <v>0.26942998656178047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0.47855153906786441</v>
      </c>
      <c r="G1896" s="1" cm="1">
        <f t="array" ref="G1896">SUMPRODUCT(([1]OUT_FinalEnergyCons!$B$4:$B$10000="Var_cap")*1, (ISNUMBER(SEARCH("SCOM-SHWODBR",[1]OUT_FinalEnergyCons!$A$4:$A$10000)))*1,[1]OUT_FinalEnergyCons!E$4:E$10000)</f>
        <v>0.47864425585781628</v>
      </c>
      <c r="H1896" s="1" cm="1">
        <f t="array" ref="H1896">SUMPRODUCT(([1]OUT_FinalEnergyCons!$B$4:$B$10000="Var_cap")*1, (ISNUMBER(SEARCH("SCOM-SHWODBR",[1]OUT_FinalEnergyCons!$A$4:$A$10000)))*1,[1]OUT_FinalEnergyCons!F$4:F$10000)</f>
        <v>0.52643129802286148</v>
      </c>
      <c r="I1896" s="1" cm="1">
        <f t="array" ref="I1896">SUMPRODUCT(([1]OUT_FinalEnergyCons!$B$4:$B$10000="Var_cap")*1, (ISNUMBER(SEARCH("SCOM-SHWODBR",[1]OUT_FinalEnergyCons!$A$4:$A$10000)))*1,[1]OUT_FinalEnergyCons!G$4:G$10000)</f>
        <v>0.52634695596744452</v>
      </c>
      <c r="J1896" s="1" cm="1">
        <f t="array" ref="J1896">SUMPRODUCT(([2]OUT_FinalEnergyCons!$B$4:$B$10000="Var_cap")*1, (ISNUMBER(SEARCH("SCOM-SHWODBR",[2]OUT_FinalEnergyCons!$A$4:$A$10000)))*1,[2]OUT_FinalEnergyCons!H$4:H$10000)</f>
        <v>0.44234713766524703</v>
      </c>
      <c r="K1896" s="1" cm="1">
        <f t="array" ref="K1896">SUMPRODUCT(([2]OUT_FinalEnergyCons!$B$4:$B$10000="Var_cap")*1, (ISNUMBER(SEARCH("SCOM-SHWODBR",[2]OUT_FinalEnergyCons!$A$4:$A$10000)))*1,[2]OUT_FinalEnergyCons!I$4:I$10000)</f>
        <v>0.37969857520394645</v>
      </c>
      <c r="L1896" s="1" cm="1">
        <f t="array" ref="L1896">SUMPRODUCT(([2]OUT_FinalEnergyCons!$B$4:$B$10000="Var_cap")*1, (ISNUMBER(SEARCH("SCOM-SHWODBR",[2]OUT_FinalEnergyCons!$A$4:$A$10000)))*1,[2]OUT_FinalEnergyCons!J$4:J$10000)</f>
        <v>0.26942998656178047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0.15053506826628146</v>
      </c>
      <c r="G1897" s="1">
        <f t="shared" ref="G1897:L1897" si="2012">G1898</f>
        <v>0.17682883389726675</v>
      </c>
      <c r="H1897" s="1">
        <f t="shared" si="2012"/>
        <v>5.3415176111420312E-2</v>
      </c>
      <c r="I1897" s="1">
        <f t="shared" si="2012"/>
        <v>5.3496630464142103E-2</v>
      </c>
      <c r="J1897" s="1">
        <f t="shared" si="2012"/>
        <v>4.4868705091709406E-2</v>
      </c>
      <c r="K1897" s="1">
        <f t="shared" si="2012"/>
        <v>5.9014820952192577E-2</v>
      </c>
      <c r="L1897" s="1">
        <f t="shared" si="2012"/>
        <v>6.2756594809703498E-2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0.15053506826628146</v>
      </c>
      <c r="G1898" s="1" cm="1">
        <f t="array" ref="G1898">SUMPRODUCT(([1]OUT_FinalEnergyCons!$B$4:$B$10000="Var_cap")*1,(ISNUMBER(SEARCH("SCOM-SHPLTBR",[1]OUT_FinalEnergyCons!$A$4:$A$10000)))*1,[1]OUT_FinalEnergyCons!E$4:E$10000)</f>
        <v>0.17682883389726675</v>
      </c>
      <c r="H1898" s="1" cm="1">
        <f t="array" ref="H1898">SUMPRODUCT(([1]OUT_FinalEnergyCons!$B$4:$B$10000="Var_cap")*1,(ISNUMBER(SEARCH("SCOM-SHPLTBR",[1]OUT_FinalEnergyCons!$A$4:$A$10000)))*1,[1]OUT_FinalEnergyCons!F$4:F$10000)</f>
        <v>5.3415176111420312E-2</v>
      </c>
      <c r="I1898" s="1" cm="1">
        <f t="array" ref="I1898">SUMPRODUCT(([1]OUT_FinalEnergyCons!$B$4:$B$10000="Var_cap")*1,(ISNUMBER(SEARCH("SCOM-SHPLTBR",[1]OUT_FinalEnergyCons!$A$4:$A$10000)))*1,[1]OUT_FinalEnergyCons!G$4:G$10000)</f>
        <v>5.3496630464142103E-2</v>
      </c>
      <c r="J1898" s="1" cm="1">
        <f t="array" ref="J1898">SUMPRODUCT(([2]OUT_FinalEnergyCons!$B$4:$B$10000="Var_cap")*1,(ISNUMBER(SEARCH("SCOM-SHPLTBR",[2]OUT_FinalEnergyCons!$A$4:$A$10000)))*1,[2]OUT_FinalEnergyCons!H$4:H$10000)</f>
        <v>4.4868705091709406E-2</v>
      </c>
      <c r="K1898" s="1" cm="1">
        <f t="array" ref="K1898">SUMPRODUCT(([2]OUT_FinalEnergyCons!$B$4:$B$10000="Var_cap")*1,(ISNUMBER(SEARCH("SCOM-SHPLTBR",[2]OUT_FinalEnergyCons!$A$4:$A$10000)))*1,[2]OUT_FinalEnergyCons!I$4:I$10000)</f>
        <v>5.9014820952192577E-2</v>
      </c>
      <c r="L1898" s="1" cm="1">
        <f t="array" ref="L1898">SUMPRODUCT(([2]OUT_FinalEnergyCons!$B$4:$B$10000="Var_cap")*1,(ISNUMBER(SEARCH("SCOM-SHPLTBR",[2]OUT_FinalEnergyCons!$A$4:$A$10000)))*1,[2]OUT_FinalEnergyCons!J$4:J$10000)</f>
        <v>6.2756594809703498E-2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9.1216947296159298E-2</v>
      </c>
      <c r="G1899" s="1">
        <f t="shared" ref="G1899:L1899" si="2015">G1900</f>
        <v>0.10061431455423141</v>
      </c>
      <c r="H1899" s="1">
        <f t="shared" si="2015"/>
        <v>0.10063721711131521</v>
      </c>
      <c r="I1899" s="1">
        <f t="shared" si="2015"/>
        <v>0.10071645995903808</v>
      </c>
      <c r="J1899" s="1">
        <f t="shared" si="2015"/>
        <v>9.7116333103667268E-2</v>
      </c>
      <c r="K1899" s="1">
        <f t="shared" si="2015"/>
        <v>0.11783825507858732</v>
      </c>
      <c r="L1899" s="1">
        <f t="shared" si="2015"/>
        <v>0.12690300575365493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9.1216947296159298E-2</v>
      </c>
      <c r="G1900" s="1" cm="1">
        <f t="array" ref="G1900">SUMPRODUCT(([1]OUT_FinalEnergyCons!$B$4:$B$10000="Var_cap")*1, (ISNUMBER(SEARCH("SCOM-SHSOLBR",[1]OUT_FinalEnergyCons!$A$4:$A$10000)))*1,[1]OUT_FinalEnergyCons!E$4:E$10000)</f>
        <v>0.10061431455423141</v>
      </c>
      <c r="H1900" s="1" cm="1">
        <f t="array" ref="H1900">SUMPRODUCT(([1]OUT_FinalEnergyCons!$B$4:$B$10000="Var_cap")*1, (ISNUMBER(SEARCH("SCOM-SHSOLBR",[1]OUT_FinalEnergyCons!$A$4:$A$10000)))*1,[1]OUT_FinalEnergyCons!F$4:F$10000)</f>
        <v>0.10063721711131521</v>
      </c>
      <c r="I1900" s="1" cm="1">
        <f t="array" ref="I1900">SUMPRODUCT(([1]OUT_FinalEnergyCons!$B$4:$B$10000="Var_cap")*1, (ISNUMBER(SEARCH("SCOM-SHSOLBR",[1]OUT_FinalEnergyCons!$A$4:$A$10000)))*1,[1]OUT_FinalEnergyCons!G$4:G$10000)</f>
        <v>0.10071645995903808</v>
      </c>
      <c r="J1900" s="1" cm="1">
        <f t="array" ref="J1900">SUMPRODUCT(([2]OUT_FinalEnergyCons!$B$4:$B$10000="Var_cap")*1, (ISNUMBER(SEARCH("SCOM-SHSOLBR",[2]OUT_FinalEnergyCons!$A$4:$A$10000)))*1,[2]OUT_FinalEnergyCons!H$4:H$10000)</f>
        <v>9.7116333103667268E-2</v>
      </c>
      <c r="K1900" s="1" cm="1">
        <f t="array" ref="K1900">SUMPRODUCT(([2]OUT_FinalEnergyCons!$B$4:$B$10000="Var_cap")*1, (ISNUMBER(SEARCH("SCOM-SHSOLBR",[2]OUT_FinalEnergyCons!$A$4:$A$10000)))*1,[2]OUT_FinalEnergyCons!I$4:I$10000)</f>
        <v>0.11783825507858732</v>
      </c>
      <c r="L1900" s="1" cm="1">
        <f t="array" ref="L1900">SUMPRODUCT(([2]OUT_FinalEnergyCons!$B$4:$B$10000="Var_cap")*1, (ISNUMBER(SEARCH("SCOM-SHSOLBR",[2]OUT_FinalEnergyCons!$A$4:$A$10000)))*1,[2]OUT_FinalEnergyCons!J$4:J$10000)</f>
        <v>0.12690300575365493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1.50430412996553E-5</v>
      </c>
      <c r="J1901" s="1">
        <f t="shared" si="2018"/>
        <v>0.33794631757472099</v>
      </c>
      <c r="K1901" s="1">
        <f t="shared" si="2018"/>
        <v>1.0316561891857952</v>
      </c>
      <c r="L1901" s="1">
        <f t="shared" si="2018"/>
        <v>1.0438184479589601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1.50430412996553E-5</v>
      </c>
      <c r="J1902" s="1" cm="1">
        <f t="array" ref="J1902">SUMPRODUCT(([2]OUT_FinalEnergyCons!$B$4:$B$10000="Var_cap")*1, (ISNUMBER(SEARCH("SCOM-SHH2BR",[2]OUT_FinalEnergyCons!$A$4:$A$10000)))*1,[2]OUT_FinalEnergyCons!H$4:H$10000)</f>
        <v>0.33794631757472099</v>
      </c>
      <c r="K1902" s="1" cm="1">
        <f t="array" ref="K1902">SUMPRODUCT(([2]OUT_FinalEnergyCons!$B$4:$B$10000="Var_cap")*1, (ISNUMBER(SEARCH("SCOM-SHH2BR",[2]OUT_FinalEnergyCons!$A$4:$A$10000)))*1,[2]OUT_FinalEnergyCons!I$4:I$10000)</f>
        <v>1.0316561891857952</v>
      </c>
      <c r="L1902" s="1" cm="1">
        <f t="array" ref="L1902">SUMPRODUCT(([2]OUT_FinalEnergyCons!$B$4:$B$10000="Var_cap")*1, (ISNUMBER(SEARCH("SCOM-SHH2BR",[2]OUT_FinalEnergyCons!$A$4:$A$10000)))*1,[2]OUT_FinalEnergyCons!J$4:J$10000)</f>
        <v>1.0438184479589601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4.6792384290546805</v>
      </c>
      <c r="G1903" s="3">
        <f t="shared" ref="G1903:K1903" si="2020">SUM(G1904:G1953)</f>
        <v>4.8043450610310634</v>
      </c>
      <c r="H1903" s="3">
        <f t="shared" si="2020"/>
        <v>4.9093979796557674</v>
      </c>
      <c r="I1903" s="3">
        <f t="shared" si="2020"/>
        <v>5.2170617057558886</v>
      </c>
      <c r="J1903" s="3">
        <f t="shared" si="2020"/>
        <v>5.7543810545280838</v>
      </c>
      <c r="K1903" s="3">
        <f t="shared" si="2020"/>
        <v>6.2962831843210463</v>
      </c>
      <c r="L1903" s="3">
        <f t="shared" ref="L1903" si="2021">SUM(L1904:L1953)</f>
        <v>6.6959519527684712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2.801066841291143E-2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1.4013021769846845E-2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2.4198384931383926E-3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4.3310014059226428E-3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5.5780900361345111E-3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0.13048795164583002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0.32562220675264453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0.39944988916566021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0.43256998623606824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7.8075998491253544E-3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1.3672975628669938E-2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1.8215287595082352E-2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0.57038143366586347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1.6310013013986691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2.1760456486573792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2.2136374579050901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5.0070995158856962E-3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2.3739012591040397E-2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7.7396536904448643E-2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8.1312508161985347E-2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0.17665143436010089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0.74933692856773071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1.2002453341795742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1.6424914539134985E-2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9.1926390101677607E-2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0.29194670110932724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1.0104067736591091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1.8846429321180833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2.029255326596084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2.647864025424405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2.5896952972139742E-5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1.1351695119772092E-3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1.9394645460583245E-3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5.6970432944380076E-3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1.3367149087464361E-3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7.6643821426777641E-4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9.7716591764240323E-5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4.8571634819299363E-3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7.9623017473377175E-3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8.8333527742429901E-3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1.1139370316629335E-2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3.7700338460224681E-3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2.1262396987515213E-3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5.0632472301881675E-4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4.0402657902614322E-3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2.5741393130315513E-2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7.247214574647394E-2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0.34190038780595772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0.70387783999927866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0.49375760492625331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0.10908055554989785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7.235117308671944E-3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1.5439618163207299E-2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1.7595795588699774E-2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1.9194078800756235E-2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4.1194995075786453E-3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1.4204724361497612E-3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2.5159350058797774E-4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1.5069422569588742E-6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1.123166914021443E-3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1.9245346919758732E-3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5.8909128185001287E-3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1.4483554944418177E-3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8.2064026714588764E-4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9.7444349002780218E-5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6.7283509062103714E-4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1.9407437403485151E-3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5.6058465284343677E-3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3.3008530449940665E-3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2.3724248285362853E-3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5.3003301669327205E-4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4.013753844852821E-6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1.156849404315257E-2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5.8323733122126409E-2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0.24182333836203476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0.55695390492468988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0.39536685759235335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9.0806803013132611E-2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2.5883004702203827E-4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4.1482161396717955E-3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7.0624102310165304E-3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1.0902234661451097E-2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2.9008680439903136E-3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1.6116653759168131E-3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2.4777265921645014E-4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5.5354937067383398E-5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7.5082175277578581E-5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1.8038721112814107E-5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4.4914428181163696E-6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5.043454144515626E-6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4.343196645430135E-6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6.2831666479506751E-6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3.4537847083725739E-5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5.2110501948287521E-5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2.5550803446840391E-5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4.1344456300241992E-6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4.1912530683518317E-6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4.0105528699502704E-6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5.3593683227500278E-5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1.3037117849924328E-4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1.3824734746197454E-4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3.732306702197E-5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4.5597262799605073E-6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3.496316473484512E-6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3.71610442050451E-6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3.2194302584244299E-5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4.9281645416991686E-5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2.1959387575278099E-5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4.2338339751780515E-6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4.3984475185202941E-6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4.8357660833528699E-6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4.3891675459153422E-2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2.1946877235544528E-2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5.6529398338992396E-3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9.2201639887080997E-3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1.0362003700418598E-2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9.5121656295448324E-3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6.3291570892251646E-4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6.9758138819318906E-5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1.720754687688909E-2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4.0594676149835758E-2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0.13379953840312062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0.11515041655413692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7.3865513573357966E-2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9.4282235100110155E-3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1.423208466707343E-2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0.19173110832080234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0.18233934776974342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0.1472635628971482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4.6372230716805483E-2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2.459360178978482E-5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8.2998524796518564E-3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1.5892285637599732E-2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1.6450270134229041E-2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1.421719547282181E-2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2.1368850224416369E-3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2.8793433319369502E-5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1.6628831723417365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0.83140870666471711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3.6490627745920649E-2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4.2724068188990112E-2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0.12580638795372376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0.10651032311906861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5.8375917007610238E-2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7.7034775206937462E-3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0.21737650387413221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0.24394087849292206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0.27028948245918288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0.21645220881217433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3.7262943048697164E-2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3.6549135572908763E-3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0.18196604051142468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0.20461391320185032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0.20794063429645313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0.16948670125419235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9.9537684397670301E-3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1.0417640487303333E-4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0.15702371703118254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0.17991997422044659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0.34617237452715471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0.29127573113345617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0.10991801965995308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1.3657505949668787E-2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3.1437036483584802E-4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7.8336918597091696E-4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1.10480659379235E-3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8.8028319555807994E-5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2.5650924595465E-5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1.6093117902288501E-4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5.1276785596746002E-4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6.6998433071625602E-4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4.6060418906348902E-5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1.20752906405251E-5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1.75244981242855E-4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4.9172988840748397E-4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6.0442619453453901E-4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3.9707810620859199E-5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9.6072759209894406E-6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2.38716207620712E-4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7.2340774290020795E-4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8.7233148999211303E-4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5.8582251525050702E-5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1.39615399060677E-5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1.5868161048817774E-6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2.0749397836406398E-2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2.1049467206396975E-2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1.7792111926739011E-2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7.9032702164771491E-3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5.1270775369159627E-5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2.5959187828813481E-4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0.11096724214448449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0.22000221734218892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0.18585853412121145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9.7835060280576439E-2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8.9579973872214464E-3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1.8547760842216104E-3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5.1278157685974582E-3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5.6753049076309139E-3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4.8651450463116025E-3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7.2844733910614704E-4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1.7676640171833504E-5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3.7723079663037453E-3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1.0840238870749226E-2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1.1240903188961275E-2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9.6812722969768523E-3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1.6719658566181491E-3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1.9254794617730328E-5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0.70636159731272663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0.35318452728045824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4.4434453544773254E-4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1.8238228472858974E-3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2.6315798173359717E-3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2.4293511691288305E-3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1.5293640456194972E-4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2.257079602913918E-5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6.4554974894972653E-2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6.8857431230479146E-2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6.8749746811901741E-2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5.2355343712743363E-2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1.8254123526678582E-3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1.0999614212007331E-5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0.1832273960318711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0.19531384666076756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0.19363509322040501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0.1506125832853325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5.6552059974688774E-3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7.8148589369734302E-6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7.1260147372555399E-2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7.9471854687805557E-2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7.8554303440861478E-2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6.1464383763062243E-2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3.3903530674111496E-3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5.8914675050288521E-6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2.77435138416105E-4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6.5242338728946196E-4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8.9217492029737804E-4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6.9967099785069994E-5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1.9791240072683901E-5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1.4751489547181899E-4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4.1805575886992699E-4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5.3974750101408995E-4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3.6729168314133803E-5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9.5450720201435492E-6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1.54427882487099E-4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3.89562575957813E-4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4.7580632677896202E-4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3.0787810848130401E-5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7.4348505761560701E-6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1.3320401223752999E-4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3.2410961813973303E-4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4.0324216068371102E-4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2.5342596684430298E-5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6.34727833386059E-6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2.5616397081194245E-4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2.9042783015163271E-4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3.3952347085270681E-4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2.0029133630795505E-4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5.1269200172337215E-5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1.8552674261441874E-5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2.6900174830049423E-3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2.6527668725691506E-3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2.6636941312835512E-3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4.8233846230312212E-4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1.2881692226111917E-4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9.9113298143135202E-6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1.509914908466808E-4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1.9639819204006779E-4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2.5581643863092321E-4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2.311601671746478E-4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7.7443621694398338E-5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1.6247636345870476E-5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2.60743625399938E-3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2.570472494382167E-3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2.4542331392227012E-3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2.6048142752979207E-4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4.041107673310668E-4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2.1874960595101402E-5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5.7232417519768646</v>
      </c>
      <c r="G1954" s="3">
        <f t="shared" ref="G1954:K1954" si="2025">SUM(G1955:G1977)</f>
        <v>5.7481718769810222</v>
      </c>
      <c r="H1954" s="3">
        <f t="shared" si="2025"/>
        <v>5.849782368154119</v>
      </c>
      <c r="I1954" s="3">
        <f t="shared" si="2025"/>
        <v>6.6988246680345673</v>
      </c>
      <c r="J1954" s="3">
        <f t="shared" si="2025"/>
        <v>7.3492809083765769</v>
      </c>
      <c r="K1954" s="3">
        <f t="shared" si="2025"/>
        <v>8.4506501401857328</v>
      </c>
      <c r="L1954" s="3">
        <f t="shared" ref="L1954" si="2026">SUM(L1955:L1977)</f>
        <v>8.5700741462900343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1.8858695085942664E-2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0.24611329334360857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0.35896055816397227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2.0260977958782007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2.5397422739524997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1.3146325517383801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1.9877874986349029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7.8819556775138189E-3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4.5534165582579479E-2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0.13836511838364396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0.76730650084337493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0.79549058067267597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0.93492793079604852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1.0282871206809996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3.3993020936574012E-2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7.4119215210383962E-2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0.1408623355786468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3.528165973852182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2.276192003169601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4.0924497997312299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4.4980628049026699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6.6559294939278792E-3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1.3492000166603743E-2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0.37431844198028474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9.9821535135374601E-4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1.0839835296867209E-3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4.869765675812361E-4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5.3291842188817105E-4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8.2843740465099602E-5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5.9588145182553004E-5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5.8066129565677498E-5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2.2063892831637101E-4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1.1374175523006204E-5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1.7923982212387E-5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2.33164544170535E-4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1.4566925592287901E-5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1.2518264682880701E-4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2.8824609537891197E-6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0.13191418111123498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0.16046641850460244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2.9585494390100306E-4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1.612054089003998E-4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1.5900243623748696E-4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9.3097347362657701E-5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6.4745554116840401E-3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1.3870989317890761E-2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1.1286928327424997E-5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5.1335671038132195E-5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4.4952318049726E-5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7.5765616300968695E-3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1.2722390860514299E-2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3.5432718268888197E-6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2.53157270638397E-4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4.8198977011186398E-4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2.2763662538506275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0.27440867731463225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0.65279312099015463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-3.0944659718467552E-4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2.7643025089986992E-2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2.1016872799377428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1.0534112827324078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0.18032391937432107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0.21899623495762507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0.27482179730105549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9.1662551470328091E-2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2.0974646324420283E-3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8.0640094766756658E-4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0.80105205478635377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0.97110347863075464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1.7081401799494333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1.6015571843770799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5.6338141159758908E-4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1.33604473895776E-4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9.631399064758444E-3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1.8006710858634691E-3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3.4677617748108264E-3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4.2653255417617401E-5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4.5539505289866777E-5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5.2014349304236801E-6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4.166264424128429E-2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6.6904024722344501E-3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1.2804057735027064E-2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1.2196658999539993E-3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1.050230512588317E-2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1.6709414746087488E-3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5.5581823910342003E-4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2.7243064981941202E-3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8.277616904981586E-3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4.2126992344447962E-4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2.5478101144303339E-3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7.6789594756537392E-4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2.4963034454398658E-4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2.3779028944992601E-3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1.3258628280075501E-2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1.483480497091987E-4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2.5914890002866997E-3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4.1522660793650695E-4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7.0224282312583708E-5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6.8204641675086099E-5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1.0981129473904671E-4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4.835871949603009E-5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2.6657157272044701E-5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3.8218620746720897E-5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2.8659211838108654</v>
      </c>
      <c r="G1978" s="3">
        <f t="shared" ref="G1978" si="2029">SUM(G1979:G2001)</f>
        <v>3.0544885822096108</v>
      </c>
      <c r="H1978" s="3">
        <f t="shared" ref="H1978" si="2030">SUM(H1979:H2001)</f>
        <v>2.9213386024346364</v>
      </c>
      <c r="I1978" s="3">
        <f t="shared" ref="I1978" si="2031">SUM(I1979:I2001)</f>
        <v>2.9265702181534672</v>
      </c>
      <c r="J1978" s="3">
        <f t="shared" ref="J1978" si="2032">SUM(J1979:J2001)</f>
        <v>2.9325227067115827</v>
      </c>
      <c r="K1978" s="3">
        <f t="shared" ref="K1978:L1978" si="2033">SUM(K1979:K2001)</f>
        <v>2.929855067554473</v>
      </c>
      <c r="L1978" s="3">
        <f t="shared" si="2033"/>
        <v>2.8540815397807999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3.3518861090426929E-3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4.147242954457353E-2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8.0330485173202112E-2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1.4039108320665752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1.3649235436582721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1.1393901474274279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1.3744921263939895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1.0868309168130717E-2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3.3740361822773055E-2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5.2308625271395459E-2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1.247097489711666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0.68763163304407071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1.1576038922641492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1.2167810073683547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2.201240081532749E-3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9.8352419257369261E-3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1.683180614967044E-2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0.26705083904713528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0.14075801523829701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0.26434825563147096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0.26006904869644898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3.1037136138987198E-3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5.3288663525052869E-3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3.74005837388872E-3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8.6676584511199593E-4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1.041072279326588E-3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4.5178719877706804E-4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2.4352650618957299E-4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6.1954913555353297E-5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3.7661367471028898E-5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5.1658943883149103E-5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2.9779102615912505E-4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1.6144515244874595E-5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1.1199745038001004E-6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1.38982102923143E-5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4.4828274458532703E-4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6.0975773337004804E-5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4.92280092360724E-5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4.8974819195151298E-5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1.2600969072513199E-4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5.1873701165017706E-6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7.7768263973979013E-2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9.6442351246080041E-2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6.0730231772940626E-4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9.7107912324079676E-5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6.8510188400148909E-5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5.1522254721115801E-5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7.6129508442832504E-3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1.3742378178404534E-2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6.1570014628680131E-4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2.6240860557374993E-5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2.8577636363255105E-5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3.6058268007554103E-5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2.8996349118833101E-3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5.2098346965093719E-3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1.4777193708819406E-3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4.3365350041578001E-5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4.4382146818814393E-5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1.4238026341750301E-5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4.5408025436033801E-4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9.2442566886056599E-4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1.6740735706076502E-4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3.27407970926859E-6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0.64448157599793499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0.30575236246334953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0.75264672024711587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0.89697881635465126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4.5307755302309009E-2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0.26848573805218329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8.585350909789968E-4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0.98770368833323774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0.86994840739833279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0.88613264007148818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0.56065293177571018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9.1982743248438248E-2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6.6410563908969004E-4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0.19278160029703478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0.17371711389741035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0.17974817032420728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3.3844573450798779E-5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0.124943947426869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2.0078761052465146E-3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2.1746491038384901E-4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3.0218829538064061E-2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3.5715884385527303E-3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4.9442513745004578E-3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8.3217052853640802E-5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8.9323614673334894E-5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7.3375625558864205E-6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1.4420849856955917E-2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6.1925291255856699E-3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1.0978638740556518E-2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3.2049735804170077E-4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2.66128387702033E-3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2.159539940347037E-3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1.1706640416405102E-4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3.0337087329467003E-3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7.2405370641048404E-3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1.921079369578395E-4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2.4801341414369725E-3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1.2746240024027701E-3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1.0786983145795399E-4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1.8196409797684898E-3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4.5550849416678297E-3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2.4080992613313969E-4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1.8487413851443E-3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1.1968796348593401E-3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9.5982191763261307E-5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2.3758224202754901E-4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7.39264971942151E-4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5.0487189601390496E-5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4.5496031155378698E-5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2.8579703946929602E-6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398.27214137424966</v>
      </c>
      <c r="G2002" s="3">
        <f t="shared" ref="G2002:K2002" si="2036">SUM(G2003:G2011)</f>
        <v>399.42697574318652</v>
      </c>
      <c r="H2002" s="3">
        <f t="shared" si="2036"/>
        <v>406.59439126112653</v>
      </c>
      <c r="I2002" s="3">
        <f t="shared" si="2036"/>
        <v>418.59076594255868</v>
      </c>
      <c r="J2002" s="3">
        <f t="shared" si="2036"/>
        <v>448.54530420537697</v>
      </c>
      <c r="K2002" s="3">
        <f t="shared" si="2036"/>
        <v>478.49807338310796</v>
      </c>
      <c r="L2002" s="3">
        <f t="shared" ref="L2002" si="2037">SUM(L2003:L2011)</f>
        <v>522.94325092073552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1.2999221587943475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0.64995158468443881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1.6973488371809122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6.2323728735079209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9.1356317991614944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145.02022408433936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362.62126684849676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468.80617873526302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522.94162237796127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4.6281098085736314E-2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1.1130429089977705E-2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1.7633552654974861E-3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1.6470906631256899E-3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1.62854277427869E-3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30.634400681765207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15.317247261841105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10.834430301679333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18.40753937375375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31.034308501779691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52.533946961714975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35.623638673002588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5.150455603953616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152.64877060509787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76.330725922629725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106.16067873160853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125.49680483119329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127.14439780081921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73.597664614263763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0.22884056682326812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2.2244171797216598E-2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52.461006499486011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55.002130813293107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50.00354183808993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4.5073498714288798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2.6846835037808647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2.574840458713394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2.1896721161370123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0.12774427070225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6.6252923698901414E-2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1.0197910002074239E-2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41.615409304618773</v>
      </c>
      <c r="G2012" s="3">
        <f t="shared" ref="G2012" si="2040">SUM(G2013:G2021)</f>
        <v>43.007057546441565</v>
      </c>
      <c r="H2012" s="3">
        <f t="shared" ref="H2012" si="2041">SUM(H2013:H2021)</f>
        <v>43.443583184327622</v>
      </c>
      <c r="I2012" s="3">
        <f t="shared" ref="I2012" si="2042">SUM(I2013:I2021)</f>
        <v>45.254769155425556</v>
      </c>
      <c r="J2012" s="3">
        <f t="shared" ref="J2012" si="2043">SUM(J2013:J2021)</f>
        <v>47.878561981609053</v>
      </c>
      <c r="K2012" s="3">
        <f t="shared" ref="K2012:L2012" si="2044">SUM(K2013:K2021)</f>
        <v>50.502253777025771</v>
      </c>
      <c r="L2012" s="3">
        <f t="shared" si="2044"/>
        <v>55.090679454527844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5.1929607422899017E-2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0.20365637277973964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0.30720462489112732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14.180803239640509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21.578044833170956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28.0360105872854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54.285444377621296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1.3980072444518665E-2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4.7282724270338368E-2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5.074897440208205E-2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1.795834022622534E-2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2.8364404426803199E-3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2.7459194403497288E-3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2.63629559142706E-3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19.77451412834683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9.887230634936893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11.766283015685669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13.777857610234658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10.772496592233583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1.026777309734598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4.1350871800317898E-3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3.8571108600476125E-3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3.28396233700918E-4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12.45178270525542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20.054690490280276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26.174457844321999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22.377580799590223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0.796235005570193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0.1212166090656851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8.6472780131976332E-2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8.6836159198574694E-2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8.7309140607052721E-2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0.11908777649339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8.2059359849751004E-2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6.0353795112236507E-3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2.6353821030730001E-3</v>
      </c>
      <c r="G2022" s="3">
        <f t="shared" ref="G2022" si="2048">SUM(G2023,G2027,G2030)</f>
        <v>2.6969516592278784E-3</v>
      </c>
      <c r="H2022" s="3">
        <f t="shared" ref="H2022" si="2049">SUM(H2023,H2027,H2030)</f>
        <v>2.8243651003021578E-3</v>
      </c>
      <c r="I2022" s="3">
        <f t="shared" ref="I2022" si="2050">SUM(I2023,I2027,I2030)</f>
        <v>7.6779616293379113E-3</v>
      </c>
      <c r="J2022" s="3">
        <f t="shared" ref="J2022" si="2051">SUM(J2023,J2027,J2030)</f>
        <v>0.34133142642695891</v>
      </c>
      <c r="K2022" s="3">
        <f t="shared" ref="K2022:L2022" si="2052">SUM(K2023,K2027,K2030)</f>
        <v>3.6504775826432869</v>
      </c>
      <c r="L2022" s="3">
        <f t="shared" si="2052"/>
        <v>4.5968183396165809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2.6353821030730001E-3</v>
      </c>
      <c r="G2023" s="1" cm="1">
        <f t="array" ref="G2023">SUMPRODUCT(ISNUMBER(SEARCH("SUP_ELCH2*",[1]OUT_SyntheticFuels!$C$4:$C$1000))*1,("Var_cap"=[1]OUT_SyntheticFuels!$B$4:$B$1000)*1,[1]OUT_SyntheticFuels!F$4:F$1000)</f>
        <v>2.6969516592278784E-3</v>
      </c>
      <c r="H2023" s="1" cm="1">
        <f t="array" ref="H2023">SUMPRODUCT(ISNUMBER(SEARCH("SUP_ELCH2*",[1]OUT_SyntheticFuels!$C$4:$C$1000))*1,("Var_cap"=[1]OUT_SyntheticFuels!$B$4:$B$1000)*1,[1]OUT_SyntheticFuels!G$4:G$1000)</f>
        <v>2.8243651003021578E-3</v>
      </c>
      <c r="I2023" s="1" cm="1">
        <f t="array" ref="I2023">SUMPRODUCT(ISNUMBER(SEARCH("SUP_ELCH2*",[1]OUT_SyntheticFuels!$C$4:$C$1000))*1,("Var_cap"=[1]OUT_SyntheticFuels!$B$4:$B$1000)*1,[1]OUT_SyntheticFuels!H$4:H$1000)</f>
        <v>6.7822524685678077E-3</v>
      </c>
      <c r="J2023" s="1" cm="1">
        <f t="array" ref="J2023">SUMPRODUCT(ISNUMBER(SEARCH("SUP_ELCH2*",[2]OUT_SyntheticFuels!$C$4:$C$1000))*1,("Var_cap"=[2]OUT_SyntheticFuels!$B$4:$B$1000)*1,[2]OUT_SyntheticFuels!I$4:I$1000)</f>
        <v>0.27723060413859862</v>
      </c>
      <c r="K2023" s="1" cm="1">
        <f t="array" ref="K2023">SUMPRODUCT(ISNUMBER(SEARCH("SUP_ELCH2*",[2]OUT_SyntheticFuels!$C$4:$C$1000))*1,("Var_cap"=[2]OUT_SyntheticFuels!$B$4:$B$1000)*1,[2]OUT_SyntheticFuels!J$4:J$1000)</f>
        <v>3.5563097386907048</v>
      </c>
      <c r="L2023" s="1" cm="1">
        <f t="array" ref="L2023">SUMPRODUCT(ISNUMBER(SEARCH("SUP_ELCH2*",[2]OUT_SyntheticFuels!$C$4:$C$1000))*1,("Var_cap"=[2]OUT_SyntheticFuels!$B$4:$B$1000)*1,[2]OUT_SyntheticFuels!K$4:K$1000)</f>
        <v>4.5024902087132883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2.6353821030730001E-3</v>
      </c>
      <c r="G2024" s="1">
        <f t="shared" ref="G2024" si="2056">G2023-G2025-G2026</f>
        <v>2.6969516592278784E-3</v>
      </c>
      <c r="H2024" s="1">
        <f t="shared" ref="H2024" si="2057">H2023-H2025-H2026</f>
        <v>2.8243651003021578E-3</v>
      </c>
      <c r="I2024" s="1">
        <f t="shared" ref="I2024" si="2058">I2023-I2025-I2026</f>
        <v>6.6399646229177633E-3</v>
      </c>
      <c r="J2024" s="1">
        <f t="shared" ref="J2024" si="2059">J2023-J2025-J2026</f>
        <v>0.27703638633920658</v>
      </c>
      <c r="K2024" s="1">
        <f t="shared" ref="K2024:L2024" si="2060">K2023-K2025-K2026</f>
        <v>2.2076486697030697</v>
      </c>
      <c r="L2024" s="1">
        <f t="shared" si="2060"/>
        <v>3.0747471607432946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1.42287845650044E-4</v>
      </c>
      <c r="J2025" s="1" cm="1">
        <f t="array" ref="J2025">SUMPRODUCT(ISNUMBER(SEARCH("SUP_ELCH2*D",[2]OUT_SyntheticFuels!$C$4:$C$1000))*1,("Var_cap"=[2]OUT_SyntheticFuels!$B$4:$B$1000)*1,[2]OUT_SyntheticFuels!I$4:I$1000)</f>
        <v>1.9421779939205101E-4</v>
      </c>
      <c r="K2025" s="1" cm="1">
        <f t="array" ref="K2025">SUMPRODUCT(ISNUMBER(SEARCH("SUP_ELCH2*D",[2]OUT_SyntheticFuels!$C$4:$C$1000))*1,("Var_cap"=[2]OUT_SyntheticFuels!$B$4:$B$1000)*1,[2]OUT_SyntheticFuels!J$4:J$1000)</f>
        <v>1.3448833270220799</v>
      </c>
      <c r="L2025" s="1" cm="1">
        <f t="array" ref="L2025">SUMPRODUCT(ISNUMBER(SEARCH("SUP_ELCH2*D",[2]OUT_SyntheticFuels!$C$4:$C$1000))*1,("Var_cap"=[2]OUT_SyntheticFuels!$B$4:$B$1000)*1,[2]OUT_SyntheticFuels!K$4:K$1000)</f>
        <v>1.4229712910730401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3.7777419655550602E-3</v>
      </c>
      <c r="L2026" s="1" cm="1">
        <f t="array" ref="L2026">SUMPRODUCT(ISNUMBER(SEARCH("SUP_ELCH2*SOEC*",[2]OUT_SyntheticFuels!$C$4:$C$1000))*1,("Var_cap"=[2]OUT_SyntheticFuels!$B$4:$B$1000)*1,[2]OUT_SyntheticFuels!K$4:K$1000)</f>
        <v>4.7717568969540781E-3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8.3647918781319503E-6</v>
      </c>
      <c r="J2027" s="1">
        <f t="shared" ref="J2027" si="2065">SUM(J2028:J2029)</f>
        <v>2.1788546400190059E-6</v>
      </c>
      <c r="K2027" s="1">
        <f t="shared" ref="K2027:L2027" si="2066">SUM(K2028:K2029)</f>
        <v>3.413110296301025E-6</v>
      </c>
      <c r="L2027" s="1">
        <f t="shared" si="2066"/>
        <v>1.9553878592214075E-4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8.3647918781319503E-6</v>
      </c>
      <c r="J2028" s="1" cm="1">
        <f t="array" ref="J2028">SUMPRODUCT(ISNUMBER(SEARCH("SUP_NGAH2",[2]OUT_SyntheticFuels!$C$4:$C$1000))*1,("Var_cap"=[2]OUT_SyntheticFuels!$B$4:$B$1000)*1,[2]OUT_SyntheticFuels!I$4:I$1000)-J2029</f>
        <v>2.1788546400190059E-6</v>
      </c>
      <c r="K2028" s="1" cm="1">
        <f t="array" ref="K2028">SUMPRODUCT(ISNUMBER(SEARCH("SUP_NGAH2",[2]OUT_SyntheticFuels!$C$4:$C$1000))*1,("Var_cap"=[2]OUT_SyntheticFuels!$B$4:$B$1000)*1,[2]OUT_SyntheticFuels!J$4:J$1000)-K2029</f>
        <v>2.6623839491483E-6</v>
      </c>
      <c r="L2028" s="1" cm="1">
        <f t="array" ref="L2028">SUMPRODUCT(ISNUMBER(SEARCH("SUP_NGAH2",[2]OUT_SyntheticFuels!$C$4:$C$1000))*1,("Var_cap"=[2]OUT_SyntheticFuels!$B$4:$B$1000)*1,[2]OUT_SyntheticFuels!K$4:K$1000)-L2029</f>
        <v>1.1626281825860824E-4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7.5072634715272495E-7</v>
      </c>
      <c r="L2029" s="1" cm="1">
        <f t="array" ref="L2029">SUMPRODUCT(ISNUMBER(SEARCH("SUP_NGAH2CCS",[2]OUT_SyntheticFuels!$C$4:$C$1000))*1,("Var_cap"=[2]OUT_SyntheticFuels!$B$4:$B$1000)*1,[2]OUT_SyntheticFuels!K$4:K$1000)</f>
        <v>7.9275967663532503E-5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8.8734436889197196E-4</v>
      </c>
      <c r="J2030" s="1">
        <f t="shared" ref="J2030" si="2071">SUM(J2031:J2032)</f>
        <v>6.4098643433720223E-2</v>
      </c>
      <c r="K2030" s="1">
        <f t="shared" ref="K2030:L2030" si="2072">SUM(K2031:K2032)</f>
        <v>9.4164430842285943E-2</v>
      </c>
      <c r="L2030" s="1">
        <f t="shared" si="2072"/>
        <v>9.4132592117370406E-2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8.8734436889197196E-4</v>
      </c>
      <c r="J2031" s="1" cm="1">
        <f t="array" ref="J2031">SUMPRODUCT(ISNUMBER(SEARCH("SUP_WODH2",[2]OUT_SyntheticFuels!$C$4:$C$1000))*1,("Var_cap"=[2]OUT_SyntheticFuels!$B$4:$B$1000)*1,[2]OUT_SyntheticFuels!I$4:I$1000)-J2032</f>
        <v>6.4098643433720223E-2</v>
      </c>
      <c r="K2031" s="1" cm="1">
        <f t="array" ref="K2031">SUMPRODUCT(ISNUMBER(SEARCH("SUP_WODH2",[2]OUT_SyntheticFuels!$C$4:$C$1000))*1,("Var_cap"=[2]OUT_SyntheticFuels!$B$4:$B$1000)*1,[2]OUT_SyntheticFuels!J$4:J$1000)-K2032</f>
        <v>9.4164430842285943E-2</v>
      </c>
      <c r="L2031" s="1" cm="1">
        <f t="array" ref="L2031">SUMPRODUCT(ISNUMBER(SEARCH("SUP_WODH2",[2]OUT_SyntheticFuels!$C$4:$C$1000))*1,("Var_cap"=[2]OUT_SyntheticFuels!$B$4:$B$1000)*1,[2]OUT_SyntheticFuels!K$4:K$1000)-L2032</f>
        <v>9.4132592117370406E-2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6.2414620691383371E-2</v>
      </c>
      <c r="G2034" s="7" cm="1">
        <f t="array" ref="G2034">SUMPRODUCT(("CT_CWODBDS"=[1]OUT_SyntheticFuels!$C$4:$C$1000)*1,("Var_cap"=[1]OUT_SyntheticFuels!$B$4:$B$1000)*1,[1]OUT_SyntheticFuels!F$4:F$1000)</f>
        <v>6.2409584697077226E-2</v>
      </c>
      <c r="H2034" s="7" cm="1">
        <f t="array" ref="H2034">SUMPRODUCT(("CT_CWODBDS"=[1]OUT_SyntheticFuels!$C$4:$C$1000)*1,("Var_cap"=[1]OUT_SyntheticFuels!$B$4:$B$1000)*1,[1]OUT_SyntheticFuels!G$4:G$1000)</f>
        <v>6.2309309925621462E-2</v>
      </c>
      <c r="I2034" s="7" cm="1">
        <f t="array" ref="I2034">SUMPRODUCT(("CT_CWODBDS"=[1]OUT_SyntheticFuels!$C$4:$C$1000)*1,("Var_cap"=[1]OUT_SyntheticFuels!$B$4:$B$1000)*1,[1]OUT_SyntheticFuels!H$4:H$1000)</f>
        <v>1.5724493680443277E-3</v>
      </c>
      <c r="J2034" s="7" cm="1">
        <f t="array" ref="J2034">SUMPRODUCT(("CT_CWODBDS"=[2]OUT_SyntheticFuels!$C$4:$C$1000)*1,("Var_cap"=[2]OUT_SyntheticFuels!$B$4:$B$1000)*1,[2]OUT_SyntheticFuels!I$4:I$1000)</f>
        <v>7.2271733899462523E-5</v>
      </c>
      <c r="K2034" s="7" cm="1">
        <f t="array" ref="K2034">SUMPRODUCT(("CT_CWODBDS"=[2]OUT_SyntheticFuels!$C$4:$C$1000)*1,("Var_cap"=[2]OUT_SyntheticFuels!$B$4:$B$1000)*1,[2]OUT_SyntheticFuels!J$4:J$1000)</f>
        <v>3.0588746643234627E-4</v>
      </c>
      <c r="L2034" s="7" cm="1">
        <f t="array" ref="L2034">SUMPRODUCT(("CT_CWODBDS"=[2]OUT_SyntheticFuels!$C$4:$C$1000)*1,("Var_cap"=[2]OUT_SyntheticFuels!$B$4:$B$1000)*1,[2]OUT_SyntheticFuels!K$4:K$1000)</f>
        <v>8.7238523227549675E-3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5.9347347707705007E-2</v>
      </c>
      <c r="G2036" s="7" cm="1">
        <f t="array" ref="G2036">SUMPRODUCT(("CT_CWODETH"=[1]OUT_SyntheticFuels!$C$4:$C$1000)*1,("Var_cap"=[1]OUT_SyntheticFuels!$B$4:$B$1000)*1,[1]OUT_SyntheticFuels!F$4:F$1000)</f>
        <v>5.9351820895005694E-2</v>
      </c>
      <c r="H2036" s="7" cm="1">
        <f t="array" ref="H2036">SUMPRODUCT(("CT_CWODETH"=[1]OUT_SyntheticFuels!$C$4:$C$1000)*1,("Var_cap"=[1]OUT_SyntheticFuels!$B$4:$B$1000)*1,[1]OUT_SyntheticFuels!G$4:G$1000)</f>
        <v>6.2905050650972183E-2</v>
      </c>
      <c r="I2036" s="7" cm="1">
        <f t="array" ref="I2036">SUMPRODUCT(("CT_CWODETH"=[1]OUT_SyntheticFuels!$C$4:$C$1000)*1,("Var_cap"=[1]OUT_SyntheticFuels!$B$4:$B$1000)*1,[1]OUT_SyntheticFuels!H$4:H$1000)</f>
        <v>7.6909181841653365E-2</v>
      </c>
      <c r="J2036" s="7" cm="1">
        <f t="array" ref="J2036">SUMPRODUCT(("CT_CWODETH"=[2]OUT_SyntheticFuels!$C$4:$C$1000)*1,("Var_cap"=[2]OUT_SyntheticFuels!$B$4:$B$1000)*1,[2]OUT_SyntheticFuels!I$4:I$1000)</f>
        <v>1.0497137338729562E-4</v>
      </c>
      <c r="K2036" s="7" cm="1">
        <f t="array" ref="K2036">SUMPRODUCT(("CT_CWODETH"=[2]OUT_SyntheticFuels!$C$4:$C$1000)*1,("Var_cap"=[2]OUT_SyntheticFuels!$B$4:$B$1000)*1,[2]OUT_SyntheticFuels!J$4:J$1000)</f>
        <v>8.8461759166002379E-5</v>
      </c>
      <c r="L2036" s="7" cm="1">
        <f t="array" ref="L2036">SUMPRODUCT(("CT_CWODETH"=[2]OUT_SyntheticFuels!$C$4:$C$1000)*1,("Var_cap"=[2]OUT_SyntheticFuels!$B$4:$B$1000)*1,[2]OUT_SyntheticFuels!K$4:K$1000)</f>
        <v>5.5648594154750424E-5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6.8337729709203501E-2</v>
      </c>
      <c r="G2038" s="7" cm="1">
        <f t="array" ref="G2038">SUMPRODUCT(("SUP_MNRBIO"=[1]OUT_SyntheticFuels!$C$4:$C$1000)*1,("Var_cap"=[1]OUT_SyntheticFuels!$B$4:$B$1000)*1,[1]OUT_SyntheticFuels!F$4:F$1000)</f>
        <v>0.16254882538797885</v>
      </c>
      <c r="H2038" s="7" cm="1">
        <f t="array" ref="H2038">SUMPRODUCT(("SUP_MNRBIO"=[1]OUT_SyntheticFuels!$C$4:$C$1000)*1,("Var_cap"=[1]OUT_SyntheticFuels!$B$4:$B$1000)*1,[1]OUT_SyntheticFuels!G$4:G$1000)</f>
        <v>0.16256342554111533</v>
      </c>
      <c r="I2038" s="7" cm="1">
        <f t="array" ref="I2038">SUMPRODUCT(("SUP_MNRBIO"=[1]OUT_SyntheticFuels!$C$4:$C$1000)*1,("Var_cap"=[1]OUT_SyntheticFuels!$B$4:$B$1000)*1,[1]OUT_SyntheticFuels!H$4:H$1000)</f>
        <v>0.16256341209374639</v>
      </c>
      <c r="J2038" s="7" cm="1">
        <f t="array" ref="J2038">SUMPRODUCT(("SUP_MNRBIO"=[2]OUT_SyntheticFuels!$C$4:$C$1000)*1,("Var_cap"=[2]OUT_SyntheticFuels!$B$4:$B$1000)*1,[2]OUT_SyntheticFuels!I$4:I$1000)</f>
        <v>0.16241195786957704</v>
      </c>
      <c r="K2038" s="7" cm="1">
        <f t="array" ref="K2038">SUMPRODUCT(("SUP_MNRBIO"=[2]OUT_SyntheticFuels!$C$4:$C$1000)*1,("Var_cap"=[2]OUT_SyntheticFuels!$B$4:$B$1000)*1,[2]OUT_SyntheticFuels!J$4:J$1000)</f>
        <v>0.22482107945426397</v>
      </c>
      <c r="L2038" s="7" cm="1">
        <f t="array" ref="L2038">SUMPRODUCT(("SUP_MNRBIO"=[2]OUT_SyntheticFuels!$C$4:$C$1000)*1,("Var_cap"=[2]OUT_SyntheticFuels!$B$4:$B$1000)*1,[2]OUT_SyntheticFuels!K$4:K$1000)</f>
        <v>0.24362847239898058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0.21279699567428934</v>
      </c>
      <c r="G2039" s="7" cm="1">
        <f t="array" ref="G2039">SUMPRODUCT(("SUP_WSTBIO"=[1]OUT_SyntheticFuels!$C$4:$C$1000)*1,("Var_cap"=[1]OUT_SyntheticFuels!$B$4:$B$1000)*1,[1]OUT_SyntheticFuels!F$4:F$1000)</f>
        <v>0.24150485329446542</v>
      </c>
      <c r="H2039" s="7" cm="1">
        <f t="array" ref="H2039">SUMPRODUCT(("SUP_WSTBIO"=[1]OUT_SyntheticFuels!$C$4:$C$1000)*1,("Var_cap"=[1]OUT_SyntheticFuels!$B$4:$B$1000)*1,[1]OUT_SyntheticFuels!G$4:G$1000)</f>
        <v>0.24147065447397506</v>
      </c>
      <c r="I2039" s="7" cm="1">
        <f t="array" ref="I2039">SUMPRODUCT(("SUP_WSTBIO"=[1]OUT_SyntheticFuels!$C$4:$C$1000)*1,("Var_cap"=[1]OUT_SyntheticFuels!$B$4:$B$1000)*1,[1]OUT_SyntheticFuels!H$4:H$1000)</f>
        <v>0.26147671468051759</v>
      </c>
      <c r="J2039" s="7" cm="1">
        <f t="array" ref="J2039">SUMPRODUCT(("SUP_WSTBIO"=[2]OUT_SyntheticFuels!$C$4:$C$1000)*1,("Var_cap"=[2]OUT_SyntheticFuels!$B$4:$B$1000)*1,[2]OUT_SyntheticFuels!I$4:I$1000)</f>
        <v>0.29046193966053652</v>
      </c>
      <c r="K2039" s="7" cm="1">
        <f t="array" ref="K2039">SUMPRODUCT(("SUP_WSTBIO"=[2]OUT_SyntheticFuels!$C$4:$C$1000)*1,("Var_cap"=[2]OUT_SyntheticFuels!$B$4:$B$1000)*1,[2]OUT_SyntheticFuels!J$4:J$1000)</f>
        <v>0.31763700735615652</v>
      </c>
      <c r="L2039" s="7" cm="1">
        <f t="array" ref="L2039">SUMPRODUCT(("SUP_WSTBIO"=[2]OUT_SyntheticFuels!$C$4:$C$1000)*1,("Var_cap"=[2]OUT_SyntheticFuels!$B$4:$B$1000)*1,[2]OUT_SyntheticFuels!K$4:K$1000)</f>
        <v>0.37191160559073821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3.7335295200932E-3</v>
      </c>
      <c r="L2041" s="7" cm="1">
        <f t="array" ref="L2041">SUMPRODUCT(("SUP_WSTHTGBIO"=[2]OUT_SyntheticFuels!$C$4:$C$1000)*1,("Var_cap"=[2]OUT_SyntheticFuels!$B$4:$B$1000)*1,[2]OUT_SyntheticFuels!K$4:K$1000)</f>
        <v>4.3682425446429666E-3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1.6210554757487498E-5</v>
      </c>
      <c r="G2043" s="7" cm="1">
        <f t="array" ref="G2043">SUMPRODUCT(("SUP_WODBIO"=[1]OUT_SyntheticFuels!$C$4:$C$1000)*1,("Var_cap"=[1]OUT_SyntheticFuels!$B$4:$B$1000)*1,[1]OUT_SyntheticFuels!F$4:F$1000)</f>
        <v>6.3860374680141071E-4</v>
      </c>
      <c r="H2043" s="7" cm="1">
        <f t="array" ref="H2043">SUMPRODUCT(("SUP_WODBIO"=[1]OUT_SyntheticFuels!$C$4:$C$1000)*1,("Var_cap"=[1]OUT_SyntheticFuels!$B$4:$B$1000)*1,[1]OUT_SyntheticFuels!G$4:G$1000)</f>
        <v>6.6402033593582742E-4</v>
      </c>
      <c r="I2043" s="7" cm="1">
        <f t="array" ref="I2043">SUMPRODUCT(("SUP_WODBIO"=[1]OUT_SyntheticFuels!$C$4:$C$1000)*1,("Var_cap"=[1]OUT_SyntheticFuels!$B$4:$B$1000)*1,[1]OUT_SyntheticFuels!H$4:H$1000)</f>
        <v>6.7125995242248832E-4</v>
      </c>
      <c r="J2043" s="7" cm="1">
        <f t="array" ref="J2043">SUMPRODUCT(("SUP_WODBIO"=[2]OUT_SyntheticFuels!$C$4:$C$1000)*1,("Var_cap"=[2]OUT_SyntheticFuels!$B$4:$B$1000)*1,[2]OUT_SyntheticFuels!I$4:I$1000)</f>
        <v>9.4594512484921128E-5</v>
      </c>
      <c r="K2043" s="7" cm="1">
        <f t="array" ref="K2043">SUMPRODUCT(("SUP_WODBIO"=[2]OUT_SyntheticFuels!$C$4:$C$1000)*1,("Var_cap"=[2]OUT_SyntheticFuels!$B$4:$B$1000)*1,[2]OUT_SyntheticFuels!J$4:J$1000)</f>
        <v>0.24231687092297424</v>
      </c>
      <c r="L2043" s="7" cm="1">
        <f t="array" ref="L2043">SUMPRODUCT(("SUP_WODBIO"=[2]OUT_SyntheticFuels!$C$4:$C$1000)*1,("Var_cap"=[2]OUT_SyntheticFuels!$B$4:$B$1000)*1,[2]OUT_SyntheticFuels!K$4:K$1000)</f>
        <v>0.24231715560929667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4.352469906735415E-2</v>
      </c>
      <c r="G2045" s="7" cm="1">
        <f t="array" ref="G2045">SUMPRODUCT(("SUP_BIONGA"=[1]OUT_SyntheticFuels!$C$4:$C$1000)*1,("Var_cap"=[1]OUT_SyntheticFuels!$B$4:$B$1000)*1,[1]OUT_SyntheticFuels!F$4:F$1000)</f>
        <v>0.13617636338315181</v>
      </c>
      <c r="H2045" s="7" cm="1">
        <f t="array" ref="H2045">SUMPRODUCT(("SUP_BIONGA"=[1]OUT_SyntheticFuels!$C$4:$C$1000)*1,("Var_cap"=[1]OUT_SyntheticFuels!$B$4:$B$1000)*1,[1]OUT_SyntheticFuels!G$4:G$1000)</f>
        <v>0.13616944382452406</v>
      </c>
      <c r="I2045" s="7" cm="1">
        <f t="array" ref="I2045">SUMPRODUCT(("SUP_BIONGA"=[1]OUT_SyntheticFuels!$C$4:$C$1000)*1,("Var_cap"=[1]OUT_SyntheticFuels!$B$4:$B$1000)*1,[1]OUT_SyntheticFuels!H$4:H$1000)</f>
        <v>0.13322674348498703</v>
      </c>
      <c r="J2045" s="7" cm="1">
        <f t="array" ref="J2045">SUMPRODUCT(("SUP_BIONGA"=[2]OUT_SyntheticFuels!$C$4:$C$1000)*1,("Var_cap"=[2]OUT_SyntheticFuels!$B$4:$B$1000)*1,[2]OUT_SyntheticFuels!I$4:I$1000)</f>
        <v>0.12835070395929651</v>
      </c>
      <c r="K2045" s="7" cm="1">
        <f t="array" ref="K2045">SUMPRODUCT(("SUP_BIONGA"=[2]OUT_SyntheticFuels!$C$4:$C$1000)*1,("Var_cap"=[2]OUT_SyntheticFuels!$B$4:$B$1000)*1,[2]OUT_SyntheticFuels!J$4:J$1000)</f>
        <v>0.34436079398741404</v>
      </c>
      <c r="L2045" s="7" cm="1">
        <f t="array" ref="L2045">SUMPRODUCT(("SUP_BIONGA"=[2]OUT_SyntheticFuels!$C$4:$C$1000)*1,("Var_cap"=[2]OUT_SyntheticFuels!$B$4:$B$1000)*1,[2]OUT_SyntheticFuels!K$4:K$1000)</f>
        <v>0.37716160200284599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0.36634906655500521</v>
      </c>
      <c r="G2046" s="7" cm="1">
        <f t="array" ref="G2046">SUMPRODUCT(("CT_CWODPLT"=[1]OUT_SyntheticFuels!$C$4:$C$1000)*1,("Var_cap"=[1]OUT_SyntheticFuels!$B$4:$B$1000)*1,[1]OUT_SyntheticFuels!F$4:F$1000)</f>
        <v>0.40757188095441188</v>
      </c>
      <c r="H2046" s="7" cm="1">
        <f t="array" ref="H2046">SUMPRODUCT(("CT_CWODPLT"=[1]OUT_SyntheticFuels!$C$4:$C$1000)*1,("Var_cap"=[1]OUT_SyntheticFuels!$B$4:$B$1000)*1,[1]OUT_SyntheticFuels!G$4:G$1000)</f>
        <v>0.12668917879899505</v>
      </c>
      <c r="I2046" s="7" cm="1">
        <f t="array" ref="I2046">SUMPRODUCT(("CT_CWODPLT"=[1]OUT_SyntheticFuels!$C$4:$C$1000)*1,("Var_cap"=[1]OUT_SyntheticFuels!$B$4:$B$1000)*1,[1]OUT_SyntheticFuels!H$4:H$1000)</f>
        <v>0.12559257919378103</v>
      </c>
      <c r="J2046" s="7" cm="1">
        <f t="array" ref="J2046">SUMPRODUCT(("CT_CWODPLT"=[2]OUT_SyntheticFuels!$C$4:$C$1000)*1,("Var_cap"=[2]OUT_SyntheticFuels!$B$4:$B$1000)*1,[2]OUT_SyntheticFuels!I$4:I$1000)</f>
        <v>0.11888119565707261</v>
      </c>
      <c r="K2046" s="7" cm="1">
        <f t="array" ref="K2046">SUMPRODUCT(("CT_CWODPLT"=[2]OUT_SyntheticFuels!$C$4:$C$1000)*1,("Var_cap"=[2]OUT_SyntheticFuels!$B$4:$B$1000)*1,[2]OUT_SyntheticFuels!J$4:J$1000)</f>
        <v>0.13398068411026931</v>
      </c>
      <c r="L2046" s="7" cm="1">
        <f t="array" ref="L2046">SUMPRODUCT(("CT_CWODPLT"=[2]OUT_SyntheticFuels!$C$4:$C$1000)*1,("Var_cap"=[2]OUT_SyntheticFuels!$B$4:$B$1000)*1,[2]OUT_SyntheticFuels!K$4:K$1000)</f>
        <v>0.13190467308656492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1.4756301969204599E-5</v>
      </c>
      <c r="J2047" s="7" cm="1">
        <f t="array" ref="J2047">SUMPRODUCT(("SUP_H2NGA"=[2]OUT_SyntheticFuels!$C$4:$C$1000)*1,("Var_cap"=[2]OUT_SyntheticFuels!$B$4:$B$1000)*1,[2]OUT_SyntheticFuels!I$4:I$1000)</f>
        <v>4.6313335149503306E-6</v>
      </c>
      <c r="K2047" s="7" cm="1">
        <f t="array" ref="K2047">SUMPRODUCT(("SUP_H2NGA"=[2]OUT_SyntheticFuels!$C$4:$C$1000)*1,("Var_cap"=[2]OUT_SyntheticFuels!$B$4:$B$1000)*1,[2]OUT_SyntheticFuels!J$4:J$1000)</f>
        <v>1.565248180308646</v>
      </c>
      <c r="L2047" s="7" cm="1">
        <f t="array" ref="L2047">SUMPRODUCT(("SUP_H2NGA"=[2]OUT_SyntheticFuels!$C$4:$C$1000)*1,("Var_cap"=[2]OUT_SyntheticFuels!$B$4:$B$1000)*1,[2]OUT_SyntheticFuels!K$4:K$1000)</f>
        <v>2.1076408394286017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3.63733123604139E-5</v>
      </c>
      <c r="J2048" s="7" cm="1">
        <f t="array" ref="J2048">SUMPRODUCT(("SUP_H2DSL"=[2]OUT_SyntheticFuels!$C$4:$C$1000)*1,("Var_cap"=[2]OUT_SyntheticFuels!$B$4:$B$1000)*1,[2]OUT_SyntheticFuels!I$4:I$1000)</f>
        <v>8.235717534694479E-6</v>
      </c>
      <c r="K2048" s="7" cm="1">
        <f t="array" ref="K2048">SUMPRODUCT(("SUP_H2DSL"=[2]OUT_SyntheticFuels!$C$4:$C$1000)*1,("Var_cap"=[2]OUT_SyntheticFuels!$B$4:$B$1000)*1,[2]OUT_SyntheticFuels!J$4:J$1000)</f>
        <v>1.2085531851998596E-3</v>
      </c>
      <c r="L2048" s="7" cm="1">
        <f t="array" ref="L2048">SUMPRODUCT(("SUP_H2DSL"=[2]OUT_SyntheticFuels!$C$4:$C$1000)*1,("Var_cap"=[2]OUT_SyntheticFuels!$B$4:$B$1000)*1,[2]OUT_SyntheticFuels!K$4:K$1000)</f>
        <v>0.1769838748527357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4.2022697970547602E-5</v>
      </c>
      <c r="J2049" s="7" cm="1">
        <f t="array" ref="J2049">SUMPRODUCT(("SUP_H2GSL"=[2]OUT_SyntheticFuels!$C$4:$C$1000)*1,("Var_cap"=[2]OUT_SyntheticFuels!$B$4:$B$1000)*1,[2]OUT_SyntheticFuels!I$4:I$1000)</f>
        <v>9.5195812224741497E-6</v>
      </c>
      <c r="K2049" s="7" cm="1">
        <f t="array" ref="K2049">SUMPRODUCT(("SUP_H2GSL"=[2]OUT_SyntheticFuels!$C$4:$C$1000)*1,("Var_cap"=[2]OUT_SyntheticFuels!$B$4:$B$1000)*1,[2]OUT_SyntheticFuels!J$4:J$1000)</f>
        <v>9.5693180153095622E-2</v>
      </c>
      <c r="L2049" s="7" cm="1">
        <f t="array" ref="L2049">SUMPRODUCT(("SUP_H2GSL"=[2]OUT_SyntheticFuels!$C$4:$C$1000)*1,("Var_cap"=[2]OUT_SyntheticFuels!$B$4:$B$1000)*1,[2]OUT_SyntheticFuels!K$4:K$1000)</f>
        <v>9.5690876587171167E-2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8.3213570651093194E-2</v>
      </c>
      <c r="G2050" s="3">
        <f t="shared" si="2075"/>
        <v>0.18450593490718212</v>
      </c>
      <c r="H2050" s="3">
        <f t="shared" si="2075"/>
        <v>5.2115821422494397</v>
      </c>
      <c r="I2050" s="3">
        <f t="shared" si="2075"/>
        <v>7.1696373544008587</v>
      </c>
      <c r="J2050" s="3">
        <f t="shared" si="2075"/>
        <v>6.9396603618097839</v>
      </c>
      <c r="K2050" s="3">
        <f t="shared" si="2075"/>
        <v>26.449681616017283</v>
      </c>
      <c r="L2050" s="3">
        <f t="shared" ref="L2050" si="2076">SUM(L2051,L2053,L2057,L2061,L2077,L2084,L2092,L2094,L2102,L2106,L2100)</f>
        <v>24.578814375343036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8.2077009434940465E-2</v>
      </c>
      <c r="H2053" s="1">
        <f t="shared" si="2081"/>
        <v>5.6263049827889537E-2</v>
      </c>
      <c r="I2053" s="1">
        <f t="shared" si="2081"/>
        <v>0.19800050233517039</v>
      </c>
      <c r="J2053" s="1">
        <f t="shared" si="2081"/>
        <v>0.10157696911214788</v>
      </c>
      <c r="K2053" s="1">
        <f t="shared" si="2081"/>
        <v>0.45101546773320883</v>
      </c>
      <c r="L2053" s="1">
        <f t="shared" ref="L2053" si="2082">SUM(L2054:L2056)</f>
        <v>0.16969102900074348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6.7433343013801897E-2</v>
      </c>
      <c r="H2054" s="1">
        <f>'[1]Electricity and CHPs_NCAP'!D$15</f>
        <v>1.9269694653528339E-2</v>
      </c>
      <c r="I2054" s="1">
        <f>'[1]Electricity and CHPs_NCAP'!E$15</f>
        <v>0.19600321022085351</v>
      </c>
      <c r="J2054" s="1">
        <f>'[2]Electricity and CHPs_NCAP'!F$15</f>
        <v>3.5075316950407831E-2</v>
      </c>
      <c r="K2054" s="1">
        <f>'[2]Electricity and CHPs_NCAP'!G$15</f>
        <v>5.4289560602671802E-2</v>
      </c>
      <c r="L2054" s="1">
        <f>'[2]Electricity and CHPs_NCAP'!H$15</f>
        <v>0.16968571539163124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9.77240805752062E-3</v>
      </c>
      <c r="H2055" s="1">
        <f>'[1]Electricity and CHPs_NCAP'!D$16</f>
        <v>3.699075894892441E-2</v>
      </c>
      <c r="I2055" s="1">
        <f>'[1]Electricity and CHPs_NCAP'!E$16</f>
        <v>1.9946923314106469E-3</v>
      </c>
      <c r="J2055" s="1">
        <f>'[2]Electricity and CHPs_NCAP'!F$16</f>
        <v>6.6501421845122283E-2</v>
      </c>
      <c r="K2055" s="1">
        <f>'[2]Electricity and CHPs_NCAP'!G$16</f>
        <v>0.39672556116824187</v>
      </c>
      <c r="L2055" s="1">
        <f>'[2]Electricity and CHPs_NCAP'!H$16</f>
        <v>4.1877281258991052E-6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4.8712583636179498E-3</v>
      </c>
      <c r="H2056" s="1">
        <f>'[1]Electricity and CHPs_NCAP'!D$17</f>
        <v>2.59622543678957E-6</v>
      </c>
      <c r="I2056" s="1">
        <f>'[1]Electricity and CHPs_NCAP'!E$17</f>
        <v>2.5997829062343898E-6</v>
      </c>
      <c r="J2056" s="1">
        <f>'[2]Electricity and CHPs_NCAP'!F$17</f>
        <v>2.3031661776213099E-7</v>
      </c>
      <c r="K2056" s="1">
        <f>'[2]Electricity and CHPs_NCAP'!G$17</f>
        <v>3.45962295158598E-7</v>
      </c>
      <c r="L2056" s="1">
        <f>'[2]Electricity and CHPs_NCAP'!H$17</f>
        <v>1.1258809863405099E-6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2.4361250594758427E-2</v>
      </c>
      <c r="H2057" s="1">
        <f t="shared" si="2083"/>
        <v>1.5895312969099063E-2</v>
      </c>
      <c r="I2057" s="1">
        <f t="shared" si="2083"/>
        <v>1.6841405489253582E-2</v>
      </c>
      <c r="J2057" s="1">
        <f t="shared" si="2083"/>
        <v>3.2991703193855097E-5</v>
      </c>
      <c r="K2057" s="1">
        <f t="shared" si="2083"/>
        <v>5.9044671494001441E-5</v>
      </c>
      <c r="L2057" s="1">
        <f t="shared" ref="L2057" si="2084">SUM(L2058:L2060)</f>
        <v>8.2834192993475381E-5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6.8119039490294295E-4</v>
      </c>
      <c r="H2058" s="1">
        <f>'[1]Electricity and CHPs_NCAP'!D$18</f>
        <v>1.5747048355054499E-2</v>
      </c>
      <c r="I2058" s="1">
        <f>'[1]Electricity and CHPs_NCAP'!E$18</f>
        <v>1.671709355842E-2</v>
      </c>
      <c r="J2058" s="1">
        <f>'[2]Electricity and CHPs_NCAP'!F$18</f>
        <v>1.29473481182584E-5</v>
      </c>
      <c r="K2058" s="1">
        <f>'[2]Electricity and CHPs_NCAP'!G$18</f>
        <v>5.0807403804496397E-6</v>
      </c>
      <c r="L2058" s="1">
        <f>'[2]Electricity and CHPs_NCAP'!H$18</f>
        <v>5.3985977967512898E-6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4.3320247787038599E-4</v>
      </c>
      <c r="H2059" s="1">
        <f>'[1]Electricity and CHPs_NCAP'!D$28</f>
        <v>1.4826461404456501E-4</v>
      </c>
      <c r="I2059" s="1">
        <f>'[1]Electricity and CHPs_NCAP'!E$28</f>
        <v>1.24311930833582E-4</v>
      </c>
      <c r="J2059" s="1">
        <f>'[2]Electricity and CHPs_NCAP'!F$28</f>
        <v>2.0044355075596699E-5</v>
      </c>
      <c r="K2059" s="1">
        <f>'[2]Electricity and CHPs_NCAP'!G$28</f>
        <v>5.3963931113551799E-5</v>
      </c>
      <c r="L2059" s="1">
        <f>'[2]Electricity and CHPs_NCAP'!H$28</f>
        <v>7.7435595196724094E-5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2.3246857721985099E-2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5.6099990487264502E-2</v>
      </c>
      <c r="H2061" s="1">
        <f t="shared" si="2085"/>
        <v>8.38158132644066E-3</v>
      </c>
      <c r="I2061" s="1">
        <f t="shared" si="2085"/>
        <v>1.583104292076893E-2</v>
      </c>
      <c r="J2061" s="1">
        <f t="shared" si="2085"/>
        <v>7.1223055682107517E-2</v>
      </c>
      <c r="K2061" s="1">
        <f t="shared" si="2085"/>
        <v>3.8665200474276136E-2</v>
      </c>
      <c r="L2061" s="1">
        <f t="shared" ref="L2061" si="2086">SUM(L2062:L2076)</f>
        <v>0.111633700964579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1.63201610698933E-5</v>
      </c>
      <c r="L2062" s="1">
        <f>'[2]Electricity and CHPs_NCAP'!H$21</f>
        <v>7.1124100275586296E-4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1.1082796781059501E-3</v>
      </c>
      <c r="K2063" s="1">
        <f>'[2]Electricity and CHPs_NCAP'!G$22</f>
        <v>1.13455635049839E-5</v>
      </c>
      <c r="L2063" s="1">
        <f>'[2]Electricity and CHPs_NCAP'!H$22</f>
        <v>3.3043891097275097E-2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3.16525421390184E-6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1.3583102283850299E-5</v>
      </c>
      <c r="H2067" s="1">
        <f>'[1]Electricity and CHPs_NCAP'!D$39</f>
        <v>1.73569168056178E-3</v>
      </c>
      <c r="I2067" s="1">
        <f>'[1]Electricity and CHPs_NCAP'!E$39</f>
        <v>3.48541316175593E-3</v>
      </c>
      <c r="J2067" s="1">
        <f>'[2]Electricity and CHPs_NCAP'!F$39</f>
        <v>2.5636116265224801E-2</v>
      </c>
      <c r="K2067" s="1">
        <f>'[2]Electricity and CHPs_NCAP'!G$39</f>
        <v>1.3169654352225557E-6</v>
      </c>
      <c r="L2067" s="1">
        <f>'[2]Electricity and CHPs_NCAP'!H$39</f>
        <v>1.1992894146932102E-2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7.4783955322632496E-3</v>
      </c>
      <c r="L2068" s="1">
        <f>'[2]Electricity and CHPs_NCAP'!H$40</f>
        <v>2.23906548344633E-2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3.9685703267127701E-4</v>
      </c>
      <c r="K2069" s="1">
        <f>'[2]Electricity and CHPs_NCAP'!G$47</f>
        <v>2.04695514198868E-6</v>
      </c>
      <c r="L2069" s="1">
        <f>'[2]Electricity and CHPs_NCAP'!H$47</f>
        <v>3.2822352261226099E-6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9.64415610812778E-4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1.4748962007393746E-3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2.6269355026159E-2</v>
      </c>
      <c r="H2074" s="1">
        <f>'[1]Electricity and CHPs_NCAP'!D$54</f>
        <v>6.6458896458788802E-3</v>
      </c>
      <c r="I2074" s="1">
        <f>'[1]Electricity and CHPs_NCAP'!E$54</f>
        <v>1.2345629759013E-2</v>
      </c>
      <c r="J2074" s="1">
        <f>'[2]Electricity and CHPs_NCAP'!F$54</f>
        <v>4.4081802706105497E-2</v>
      </c>
      <c r="K2074" s="1">
        <f>'[2]Electricity and CHPs_NCAP'!G$54</f>
        <v>3.11557752968608E-2</v>
      </c>
      <c r="L2074" s="1">
        <f>'[2]Electricity and CHPs_NCAP'!H$54</f>
        <v>4.34917376479265E-2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2.7374575293055599E-2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2.0089719393286353E-5</v>
      </c>
      <c r="H2077" s="1">
        <f t="shared" si="2087"/>
        <v>3.3310134757570137E-2</v>
      </c>
      <c r="I2077" s="1">
        <f t="shared" si="2087"/>
        <v>5.0010641885071254E-2</v>
      </c>
      <c r="J2077" s="1">
        <f t="shared" si="2087"/>
        <v>7.7723146951108449E-2</v>
      </c>
      <c r="K2077" s="1">
        <f t="shared" si="2087"/>
        <v>0.15207301875158824</v>
      </c>
      <c r="L2077" s="1">
        <f t="shared" ref="L2077" si="2088">SUM(L2078:L2083)</f>
        <v>0.33778233772294386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6.2944844115577101E-6</v>
      </c>
      <c r="H2078" s="1">
        <f>'[1]Electricity and CHPs_NCAP'!D$19</f>
        <v>3.3303223640693103E-2</v>
      </c>
      <c r="I2078" s="1">
        <f>'[1]Electricity and CHPs_NCAP'!E$19</f>
        <v>4.7093043683537297E-2</v>
      </c>
      <c r="J2078" s="1">
        <f>'[2]Electricity and CHPs_NCAP'!F$19</f>
        <v>7.5382698483842894E-2</v>
      </c>
      <c r="K2078" s="1">
        <f>'[2]Electricity and CHPs_NCAP'!G$19</f>
        <v>2.12893352185974E-7</v>
      </c>
      <c r="L2078" s="1">
        <f>'[2]Electricity and CHPs_NCAP'!H$19</f>
        <v>7.3884773102246406E-8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8.9479857914063599E-2</v>
      </c>
      <c r="L2079" s="1">
        <f>'[2]Electricity and CHPs_NCAP'!H$20</f>
        <v>0.28512566830980002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7.2413854533022801E-6</v>
      </c>
      <c r="H2080" s="1">
        <f>'[1]Electricity and CHPs_NCAP'!D$26</f>
        <v>4.0133576567924799E-6</v>
      </c>
      <c r="I2080" s="1">
        <f>'[1]Electricity and CHPs_NCAP'!E$26</f>
        <v>2.9064328118965899E-3</v>
      </c>
      <c r="J2080" s="1">
        <f>'[2]Electricity and CHPs_NCAP'!F$26</f>
        <v>2.3380724564521201E-3</v>
      </c>
      <c r="K2080" s="1">
        <f>'[2]Electricity and CHPs_NCAP'!G$26</f>
        <v>4.3262207190124498E-3</v>
      </c>
      <c r="L2080" s="1">
        <f>'[2]Electricity and CHPs_NCAP'!H$26</f>
        <v>7.0324090136095097E-8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4.06480654850652E-2</v>
      </c>
      <c r="L2081" s="1">
        <f>'[2]Electricity and CHPs_NCAP'!H$27</f>
        <v>4.0996645218528603E-2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6.5538495284263599E-6</v>
      </c>
      <c r="H2082" s="1">
        <f>'[1]Electricity and CHPs_NCAP'!D$44</f>
        <v>2.8977592202434901E-6</v>
      </c>
      <c r="I2082" s="1">
        <f>'[1]Electricity and CHPs_NCAP'!E$44</f>
        <v>1.1165389637362701E-5</v>
      </c>
      <c r="J2082" s="1">
        <f>'[2]Electricity and CHPs_NCAP'!F$44</f>
        <v>2.3760108134296701E-6</v>
      </c>
      <c r="K2082" s="1">
        <f>'[2]Electricity and CHPs_NCAP'!G$44</f>
        <v>1.99828888482119E-7</v>
      </c>
      <c r="L2082" s="1">
        <f>'[2]Electricity and CHPs_NCAP'!H$44</f>
        <v>6.7590478208254298E-8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1.76184619112063E-2</v>
      </c>
      <c r="L2083" s="1">
        <f>'[2]Electricity and CHPs_NCAP'!H$45</f>
        <v>1.16598123952738E-2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1.4034605265957061E-2</v>
      </c>
      <c r="H2084" s="1">
        <f t="shared" si="2090"/>
        <v>3.1609603422618149E-2</v>
      </c>
      <c r="I2084" s="1">
        <f t="shared" si="2090"/>
        <v>5.0863965431456673E-2</v>
      </c>
      <c r="J2084" s="1">
        <f t="shared" si="2090"/>
        <v>8.8638428816070397E-2</v>
      </c>
      <c r="K2084" s="1">
        <f t="shared" si="2090"/>
        <v>0.10861403110754253</v>
      </c>
      <c r="L2084" s="1">
        <f t="shared" ref="L2084" si="2091">SUM(L2085:L2091)</f>
        <v>0.29143421660983326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6.7366484568596205E-4</v>
      </c>
      <c r="H2085" s="1">
        <f>'[1]Electricity and CHPs_NCAP'!D$25</f>
        <v>3.2804993034795098E-4</v>
      </c>
      <c r="I2085" s="1">
        <f>'[1]Electricity and CHPs_NCAP'!E$25</f>
        <v>2.33579354156465E-3</v>
      </c>
      <c r="J2085" s="1">
        <f>'[2]Electricity and CHPs_NCAP'!F$25</f>
        <v>3.08651196340438E-2</v>
      </c>
      <c r="K2085" s="1">
        <f>'[2]Electricity and CHPs_NCAP'!G$25</f>
        <v>2.18303540157757E-2</v>
      </c>
      <c r="L2085" s="1">
        <f>'[2]Electricity and CHPs_NCAP'!H$25</f>
        <v>5.1283835479285701E-2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4.49305158886327E-4</v>
      </c>
      <c r="L2086" s="1">
        <f>'[2]Electricity and CHPs_NCAP'!H$31</f>
        <v>0.11404587878108099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1.3360940420271099E-2</v>
      </c>
      <c r="H2087" s="1">
        <f>'[1]Electricity and CHPs_NCAP'!D$42</f>
        <v>3.12815534922702E-2</v>
      </c>
      <c r="I2087" s="1">
        <f>'[1]Electricity and CHPs_NCAP'!E$42</f>
        <v>4.7887059106327602E-2</v>
      </c>
      <c r="J2087" s="1">
        <f>'[2]Electricity and CHPs_NCAP'!F$42</f>
        <v>3.6799155891168403E-2</v>
      </c>
      <c r="K2087" s="1">
        <f>'[2]Electricity and CHPs_NCAP'!G$42</f>
        <v>4.1790133727290603E-2</v>
      </c>
      <c r="L2087" s="1">
        <f>'[2]Electricity and CHPs_NCAP'!H$42</f>
        <v>7.9569490852622202E-2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2.2663437013690502E-2</v>
      </c>
      <c r="L2088" s="1">
        <f>'[2]Electricity and CHPs_NCAP'!H$43</f>
        <v>4.6487182881997297E-2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1.3927684143595729E-4</v>
      </c>
      <c r="J2089" s="1">
        <f>'[2]Electricity and CHPs_NCAP'!F$50</f>
        <v>3.4513835712251801E-4</v>
      </c>
      <c r="K2089" s="1">
        <f>'[2]Electricity and CHPs_NCAP'!G$50</f>
        <v>7.5781185596239195E-5</v>
      </c>
      <c r="L2089" s="1">
        <f>'[2]Electricity and CHPs_NCAP'!H$50</f>
        <v>4.2116855403963499E-6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2.4619668007455696E-4</v>
      </c>
      <c r="J2090" s="1">
        <f>'[2]Electricity and CHPs_NCAP'!F$53</f>
        <v>2.05136843778294E-2</v>
      </c>
      <c r="K2090" s="1">
        <f>'[2]Electricity and CHPs_NCAP'!G$53</f>
        <v>2.1802994133771101E-2</v>
      </c>
      <c r="L2090" s="1">
        <f>'[2]Electricity and CHPs_NCAP'!H$53</f>
        <v>1.537465932580315E-6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2.5563926205390602E-4</v>
      </c>
      <c r="J2091" s="1">
        <f>'[2]Electricity and CHPs_NCAP'!F$56</f>
        <v>1.15330555906283E-4</v>
      </c>
      <c r="K2091" s="1">
        <f>'[2]Electricity and CHPs_NCAP'!G$56</f>
        <v>2.0258725320525002E-6</v>
      </c>
      <c r="L2091" s="1">
        <f>'[2]Electricity and CHPs_NCAP'!H$56</f>
        <v>4.2079463374138899E-5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7.1347297093900097E-3</v>
      </c>
      <c r="H2092" s="1">
        <f t="shared" si="2092"/>
        <v>0.29201248831448601</v>
      </c>
      <c r="I2092" s="1">
        <f t="shared" si="2092"/>
        <v>0.28589390713535401</v>
      </c>
      <c r="J2092" s="1">
        <f t="shared" si="2092"/>
        <v>0.74282829863918898</v>
      </c>
      <c r="K2092" s="1">
        <f t="shared" si="2092"/>
        <v>9.7323486510094905E-6</v>
      </c>
      <c r="L2092" s="1">
        <f t="shared" si="2092"/>
        <v>6.4927855300363797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7.1347297093900097E-3</v>
      </c>
      <c r="H2093" s="1">
        <f>'[1]Electricity and CHPs_NCAP'!D$33</f>
        <v>0.29201248831448601</v>
      </c>
      <c r="I2093" s="1">
        <f>'[1]Electricity and CHPs_NCAP'!E$33</f>
        <v>0.28589390713535401</v>
      </c>
      <c r="J2093" s="1">
        <f>'[2]Electricity and CHPs_NCAP'!F$33</f>
        <v>0.74282829863918898</v>
      </c>
      <c r="K2093" s="1">
        <f>'[2]Electricity and CHPs_NCAP'!G$33</f>
        <v>9.7323486510094905E-6</v>
      </c>
      <c r="L2093" s="1">
        <f>'[2]Electricity and CHPs_NCAP'!H$33</f>
        <v>6.4927855300363797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6.1163047796207915E-4</v>
      </c>
      <c r="H2094" s="1">
        <f t="shared" si="2093"/>
        <v>4.4476915261073771</v>
      </c>
      <c r="I2094" s="1">
        <f t="shared" si="2093"/>
        <v>6.1905492890803924</v>
      </c>
      <c r="J2094" s="1">
        <f t="shared" si="2093"/>
        <v>5.4594227440357184</v>
      </c>
      <c r="K2094" s="1">
        <f t="shared" si="2093"/>
        <v>22.669528389009493</v>
      </c>
      <c r="L2094" s="1">
        <f t="shared" ref="L2094" si="2094">SUM(L2095:L2099)</f>
        <v>14.70335430785115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4.490579305494672E-2</v>
      </c>
      <c r="I2095" s="1">
        <f>'[1]Electricity and CHPs_NCAP'!E$34</f>
        <v>0.22034307666447547</v>
      </c>
      <c r="J2095" s="1">
        <f>'[2]Electricity and CHPs_NCAP'!F$34</f>
        <v>0.60835629741415653</v>
      </c>
      <c r="K2095" s="1">
        <f>'[2]Electricity and CHPs_NCAP'!G$34</f>
        <v>3.8950455910708062</v>
      </c>
      <c r="L2095" s="1">
        <f>'[2]Electricity and CHPs_NCAP'!H$34</f>
        <v>5.7273585833171713E-6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2.0099865908369601E-6</v>
      </c>
      <c r="H2096" s="1">
        <f>'[1]Electricity and CHPs_NCAP'!D$35</f>
        <v>1.76790967767338</v>
      </c>
      <c r="I2096" s="1">
        <f>'[1]Electricity and CHPs_NCAP'!E$35</f>
        <v>2.1224874166294101</v>
      </c>
      <c r="J2096" s="1">
        <f>'[2]Electricity and CHPs_NCAP'!F$35</f>
        <v>3.5926283346746501</v>
      </c>
      <c r="K2096" s="1">
        <f>'[2]Electricity and CHPs_NCAP'!G$35</f>
        <v>3.7926838834861498</v>
      </c>
      <c r="L2096" s="1">
        <f>'[2]Electricity and CHPs_NCAP'!H$35</f>
        <v>5.7997203021948396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2.7873040867991032E-4</v>
      </c>
      <c r="H2097" s="1">
        <f>'[1]Electricity and CHPs_NCAP'!D$36</f>
        <v>0.19804164539180591</v>
      </c>
      <c r="I2097" s="1">
        <f>'[1]Electricity and CHPs_NCAP'!E$36</f>
        <v>1.7743120522978684</v>
      </c>
      <c r="J2097" s="1">
        <f>'[2]Electricity and CHPs_NCAP'!F$36</f>
        <v>0.40046279018846898</v>
      </c>
      <c r="K2097" s="1">
        <f>'[2]Electricity and CHPs_NCAP'!G$36</f>
        <v>0.77055542937966104</v>
      </c>
      <c r="L2097" s="1">
        <f>'[2]Electricity and CHPs_NCAP'!H$36</f>
        <v>2.4891986524949918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3.2902293382866467E-4</v>
      </c>
      <c r="H2098" s="1">
        <f>'[1]Electricity and CHPs_NCAP'!D$37</f>
        <v>0.43222928735288446</v>
      </c>
      <c r="I2098" s="1">
        <f>'[1]Electricity and CHPs_NCAP'!E$37</f>
        <v>7.9402545648480701E-3</v>
      </c>
      <c r="J2098" s="1">
        <f>'[2]Electricity and CHPs_NCAP'!F$37</f>
        <v>0.12621207242964139</v>
      </c>
      <c r="K2098" s="1">
        <f>'[2]Electricity and CHPs_NCAP'!G$37</f>
        <v>7.5611423334086396</v>
      </c>
      <c r="L2098" s="1">
        <f>'[2]Electricity and CHPs_NCAP'!H$37</f>
        <v>1.2956355822238059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1.8671488626671899E-6</v>
      </c>
      <c r="H2099" s="1">
        <f>'[1]Electricity and CHPs_NCAP'!D$38</f>
        <v>2.0046051226343602</v>
      </c>
      <c r="I2099" s="1">
        <f>'[1]Electricity and CHPs_NCAP'!E$38</f>
        <v>2.0654664889237901</v>
      </c>
      <c r="J2099" s="1">
        <f>'[2]Electricity and CHPs_NCAP'!F$38</f>
        <v>0.73176324932880199</v>
      </c>
      <c r="K2099" s="1">
        <f>'[2]Electricity and CHPs_NCAP'!G$38</f>
        <v>6.6501011516642397</v>
      </c>
      <c r="L2099" s="1">
        <f>'[2]Electricity and CHPs_NCAP'!H$38</f>
        <v>5.1187940435789301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0.29600066469796799</v>
      </c>
      <c r="L2100" s="1">
        <f>'[2]Electricity and CHPs_NCAP'!H$32</f>
        <v>1.7866169119199199E-6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0.29600066469796799</v>
      </c>
      <c r="L2101" s="1">
        <f t="shared" ref="L2101" si="2096">L2100</f>
        <v>1.7866169119199199E-6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2.5823633226281801E-3</v>
      </c>
      <c r="J2102" s="1">
        <f t="shared" si="2097"/>
        <v>9.4609415995307799E-4</v>
      </c>
      <c r="K2102" s="1">
        <f t="shared" si="2097"/>
        <v>2.3481427326822471E-2</v>
      </c>
      <c r="L2102" s="1">
        <f t="shared" ref="L2102" si="2098">SUM(L2103:L2105)</f>
        <v>2.5512044752742682E-2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5.0423850554799404E-4</v>
      </c>
      <c r="L2103" s="1">
        <f>'[2]Electricity and CHPs_NCAP'!H$30</f>
        <v>2.4664252173115801E-2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9.1220903981886802E-4</v>
      </c>
      <c r="K2104" s="1">
        <f>'[2]Electricity and CHPs_NCAP'!G$46</f>
        <v>2.2603631529081E-2</v>
      </c>
      <c r="L2104" s="1">
        <f>'[2]Electricity and CHPs_NCAP'!H$46</f>
        <v>4.2852569017400299E-4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2.5823633226281801E-3</v>
      </c>
      <c r="J2105" s="1">
        <f>'[2]Electricity and CHPs_NCAP'!F$57</f>
        <v>3.3885120134209999E-5</v>
      </c>
      <c r="K2105" s="1">
        <f>'[2]Electricity and CHPs_NCAP'!G$57</f>
        <v>3.7355729219347899E-4</v>
      </c>
      <c r="L2105" s="1">
        <f>'[2]Electricity and CHPs_NCAP'!H$57</f>
        <v>4.19266889452878E-4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8.3213570651093194E-2</v>
      </c>
      <c r="G2106" s="1">
        <f t="shared" si="2099"/>
        <v>1.6662921751629407E-4</v>
      </c>
      <c r="H2106" s="1">
        <f t="shared" si="2099"/>
        <v>0.3264184455239591</v>
      </c>
      <c r="I2106" s="1">
        <f t="shared" si="2099"/>
        <v>0.3590642368007631</v>
      </c>
      <c r="J2106" s="1">
        <f t="shared" si="2099"/>
        <v>0.39726863271029556</v>
      </c>
      <c r="K2106" s="1">
        <f t="shared" si="2099"/>
        <v>2.7102346398962442</v>
      </c>
      <c r="L2106" s="1">
        <f t="shared" ref="L2106" si="2100">SUM(L2107:L2113)</f>
        <v>2.4465365875947609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9.8710089689859603E-6</v>
      </c>
      <c r="H2107" s="1">
        <f>'[1]Electricity and CHPs_NCAP'!D$63</f>
        <v>1.01942253928081E-5</v>
      </c>
      <c r="I2107" s="1">
        <f>'[1]Electricity and CHPs_NCAP'!E$63</f>
        <v>9.7242591239973706E-6</v>
      </c>
      <c r="J2107" s="1">
        <f>'[2]Electricity and CHPs_NCAP'!F$63</f>
        <v>1.33705845588925E-6</v>
      </c>
      <c r="K2107" s="1">
        <f>'[2]Electricity and CHPs_NCAP'!G$63</f>
        <v>1.4216362598558899E-6</v>
      </c>
      <c r="L2107" s="1">
        <f>'[2]Electricity and CHPs_NCAP'!H$63</f>
        <v>9.3531312446631899E-7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1.2706960992768201E-2</v>
      </c>
      <c r="G2108" s="1">
        <f>'[1]Electricity and CHPs_NCAP'!C$64</f>
        <v>2.2776678607035101E-5</v>
      </c>
      <c r="H2108" s="1">
        <f>'[1]Electricity and CHPs_NCAP'!D$64</f>
        <v>1.65505083251737E-4</v>
      </c>
      <c r="I2108" s="1">
        <f>'[1]Electricity and CHPs_NCAP'!E$64</f>
        <v>2.24933384207151E-2</v>
      </c>
      <c r="J2108" s="1">
        <f>'[2]Electricity and CHPs_NCAP'!F$64</f>
        <v>6.9165419808357803E-2</v>
      </c>
      <c r="K2108" s="1">
        <f>'[2]Electricity and CHPs_NCAP'!G$64</f>
        <v>1.1558685218496301</v>
      </c>
      <c r="L2108" s="1">
        <f>'[2]Electricity and CHPs_NCAP'!H$64</f>
        <v>0.63686895584832104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9.6401009126476107E-3</v>
      </c>
      <c r="G2109" s="1">
        <f>'[1]Electricity and CHPs_NCAP'!C$65</f>
        <v>1.6638496562853701E-5</v>
      </c>
      <c r="H2109" s="1">
        <f>'[1]Electricity and CHPs_NCAP'!D$65</f>
        <v>1.19894829257338E-4</v>
      </c>
      <c r="I2109" s="1">
        <f>'[1]Electricity and CHPs_NCAP'!E$65</f>
        <v>1.0479613311352101E-2</v>
      </c>
      <c r="J2109" s="1">
        <f>'[2]Electricity and CHPs_NCAP'!F$65</f>
        <v>2.2162808638747301E-2</v>
      </c>
      <c r="K2109" s="1">
        <f>'[2]Electricity and CHPs_NCAP'!G$65</f>
        <v>0.40415633475096002</v>
      </c>
      <c r="L2109" s="1">
        <f>'[2]Electricity and CHPs_NCAP'!H$65</f>
        <v>0.60562956748461105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1.00410939041946E-2</v>
      </c>
      <c r="G2110" s="1">
        <f>'[1]Electricity and CHPs_NCAP'!C$66</f>
        <v>1.8785329182832801E-5</v>
      </c>
      <c r="H2110" s="1">
        <f>'[1]Electricity and CHPs_NCAP'!D$66</f>
        <v>6.1457699811451397E-2</v>
      </c>
      <c r="I2110" s="1">
        <f>'[1]Electricity and CHPs_NCAP'!E$66</f>
        <v>4.6053601755835998E-2</v>
      </c>
      <c r="J2110" s="1">
        <f>'[2]Electricity and CHPs_NCAP'!F$66</f>
        <v>0.101903493700744</v>
      </c>
      <c r="K2110" s="1">
        <f>'[2]Electricity and CHPs_NCAP'!G$66</f>
        <v>0.143295449316509</v>
      </c>
      <c r="L2110" s="1">
        <f>'[2]Electricity and CHPs_NCAP'!H$66</f>
        <v>0.21765125429059201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2.1180689472327201E-2</v>
      </c>
      <c r="G2111" s="1">
        <f>'[1]Electricity and CHPs_NCAP'!C$67</f>
        <v>4.32396374258433E-5</v>
      </c>
      <c r="H2111" s="1">
        <f>'[1]Electricity and CHPs_NCAP'!D$67</f>
        <v>0.1320948586757755</v>
      </c>
      <c r="I2111" s="1">
        <f>'[1]Electricity and CHPs_NCAP'!E$67</f>
        <v>0.18690264250508282</v>
      </c>
      <c r="J2111" s="1">
        <f>'[2]Electricity and CHPs_NCAP'!F$67</f>
        <v>0.110278214035199</v>
      </c>
      <c r="K2111" s="1">
        <f>'[2]Electricity and CHPs_NCAP'!G$67</f>
        <v>0.26173888356591102</v>
      </c>
      <c r="L2111" s="1">
        <f>'[2]Electricity and CHPs_NCAP'!H$67</f>
        <v>0.35202873939824597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1.9198317434659079E-2</v>
      </c>
      <c r="G2112" s="1">
        <f>'[1]Electricity and CHPs_NCAP'!C$68</f>
        <v>3.4923649636720602E-5</v>
      </c>
      <c r="H2112" s="1">
        <f>'[1]Electricity and CHPs_NCAP'!D$68</f>
        <v>1.7526191616338321E-2</v>
      </c>
      <c r="I2112" s="1">
        <f>'[1]Electricity and CHPs_NCAP'!E$68</f>
        <v>5.9699228842563096E-3</v>
      </c>
      <c r="J2112" s="1">
        <f>'[2]Electricity and CHPs_NCAP'!F$68</f>
        <v>1.528791294731789E-2</v>
      </c>
      <c r="K2112" s="1">
        <f>'[2]Electricity and CHPs_NCAP'!G$68</f>
        <v>0.33533440942883697</v>
      </c>
      <c r="L2112" s="1">
        <f>'[2]Electricity and CHPs_NCAP'!H$68</f>
        <v>0.24133588327164601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1.0446407934496501E-2</v>
      </c>
      <c r="G2113" s="1">
        <f>'[1]Electricity and CHPs_NCAP'!C$69</f>
        <v>2.03944171320226E-5</v>
      </c>
      <c r="H2113" s="1">
        <f>'[1]Electricity and CHPs_NCAP'!D$69</f>
        <v>0.115044101282492</v>
      </c>
      <c r="I2113" s="1">
        <f>'[1]Electricity and CHPs_NCAP'!E$69</f>
        <v>8.7155393664396799E-2</v>
      </c>
      <c r="J2113" s="1">
        <f>'[2]Electricity and CHPs_NCAP'!F$69</f>
        <v>7.8469446521473696E-2</v>
      </c>
      <c r="K2113" s="1">
        <f>'[2]Electricity and CHPs_NCAP'!G$69</f>
        <v>0.40983961934813701</v>
      </c>
      <c r="L2113" s="1">
        <f>'[2]Electricity and CHPs_NCAP'!H$69</f>
        <v>0.39302125198822002</v>
      </c>
      <c r="N2113" s="1"/>
    </row>
    <row r="2114" spans="2:14" x14ac:dyDescent="0.35">
      <c r="B2114" s="5" t="str">
        <f>SPS2_SOC_High!B1902</f>
        <v>SPS1</v>
      </c>
      <c r="C2114" s="5" t="str">
        <f>SPS2_SOC_High!C1902</f>
        <v>CH</v>
      </c>
      <c r="D2114" s="2" t="s">
        <v>2243</v>
      </c>
      <c r="E2114" s="2" t="s">
        <v>1972</v>
      </c>
      <c r="F2114" s="3">
        <f t="shared" ref="F2114:K2114" si="2101">SUM(F2115:F2164)</f>
        <v>3.4904827406947738E-3</v>
      </c>
      <c r="G2114" s="3">
        <f t="shared" si="2101"/>
        <v>0.45156349260147743</v>
      </c>
      <c r="H2114" s="3">
        <f t="shared" si="2101"/>
        <v>0.8955194455642671</v>
      </c>
      <c r="I2114" s="3">
        <f t="shared" si="2101"/>
        <v>2.0692751379728143</v>
      </c>
      <c r="J2114" s="3">
        <f t="shared" si="2101"/>
        <v>3.4984631153481174</v>
      </c>
      <c r="K2114" s="3">
        <f t="shared" si="2101"/>
        <v>2.5540298411647222</v>
      </c>
      <c r="L2114" s="3">
        <f t="shared" ref="L2114" si="2102">SUM(L2115:L2164)</f>
        <v>5.3089728272496206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9.4895089848303195E-4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1.5139383780664499E-3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1.52900018633736E-3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0.13274624474909699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0.21872004268610001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0.16471959406532399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0.34526312977013401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5.2628818581012897E-4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2.0499909564197102E-3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5.1972863012349196E-3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0.58559968210585001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1.2047348755284299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0.96645215870120005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1.6686716872123299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7.90774924322943E-4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1.7076925098765201E-2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5.5601956747644898E-2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1.5758596419597402E-2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0.14275179224703699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0.64895028604259797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0.98004337319910795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1.2244687320786701E-3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6.3712446320510596E-2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0.20760759458165901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0.80138380440179702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1.1246019461055301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0.77389778083330896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2.3149825994953299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1.1244011713525701E-3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8.8086144536764395E-4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4.2990255505166303E-3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3.91486731239436E-4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5.1293515601592799E-4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1.1782705557176799E-3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4.1021882856253598E-3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2.0282793341449101E-3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1.53539220529198E-2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4.8786536552920999E-2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0.29551064754124901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0.43695791336165302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3.0318836744398E-3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2.87303237055383E-3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5.1656316952394697E-3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1.00786550247633E-3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1.13680007949305E-3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8.7924119738218699E-4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4.5134735333671201E-3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3.9039656228305702E-4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6.8165981705873397E-4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1.3241344522857E-3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4.1641228181132101E-3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2.1232509005795E-3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1.17205678542446E-2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4.8057431120459702E-2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0.20184916740907299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0.363756413312599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3.5154114790280099E-3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3.1827842165952701E-3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5.2868389030913902E-3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9.9256028525558995E-4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5.6101829186112801E-5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2.3388944830787099E-5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7.4477061366875901E-6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1.7637036298196099E-6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2.9640721706823602E-6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2.8247481930367299E-6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2.8655381498174701E-5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1.9556933205026201E-5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7.3188824753863398E-6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1.59037448385578E-6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2.4142476134949598E-6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2.8034490771217501E-6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2.2842811309806201E-5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1.4591577816206499E-5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5.9779438642896097E-6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1.3280559244136799E-6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2.0319365386083701E-6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2.7617022898787398E-6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3.2628693302436003E-5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1.92985430881426E-5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7.2573855161160399E-6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1.61065675143414E-6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2.6112659689175498E-6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3.6476731590025601E-6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2.7019270698739432E-3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1.4207171537137771E-3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1.1936449601459239E-3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1.1522497578897933E-2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9.6215905603701468E-2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6.1550774638277899E-4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0.16803719350979848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1.1926755530829681E-3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3.7498539235423302E-4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1.8460111312572759E-3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1.2528345471352889E-3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4.8590419379662502E-4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3.0464857768769298E-3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8.48281752601735E-2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6.0685793614459601E-4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6.1330812602888504E-4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3.0102576980221001E-2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2.8656457429568902E-4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9.9954810404871697E-4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6.5823200721078102E-3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2.27282946188675E-4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6.9855124588349895E-4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0.171451736459135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3.1951245703016403E-4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3.1861209575087301E-4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4.9356385671939305E-4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4.6272560479405602E-4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1.6310258839733201E-4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3.6591970991256599E-4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2.4338677524886099E-4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1.77609523635485E-4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3.3092130425557698E-4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1.9483607305095801E-4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2.4193715345735599E-4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5.0507953656970801E-4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2.6739176910912102E-4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2.1027764323517415E-2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1.509305297480604E-3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8.2174932475530607E-4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0.11193716895247814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0.11694101758186667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4.4949424184307702E-4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1.4735771177534071E-3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8.1817874405186908E-4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2.9439599741699999E-4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2.0988137842339579E-3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9.401725178008369E-4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3.0742562287498901E-4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1.3694529659707599E-3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9.0140500855202799E-4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3.1066826950986001E-4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3.6309192882825401E-4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5.3598104140850503E-4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1.67925467339949E-4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3.25554122058093E-4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3.7565867712577799E-4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1.33004575545041E-4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1.4318397899596501E-4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2.23456444346219E-4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1.21360931307686E-4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2.8117851035941303E-4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3.9614217116034403E-4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3.5707814689522199E-4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1.49505281852152E-4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2.82748697735677E-4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1.9282859071547201E-4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1.5651154429672701E-4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2.4726582929399202E-4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1.5233443295633599E-4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1.3500130498491801E-4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2.0120875051613099E-4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1.34880904344834E-4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4.5266687483208297E-5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5.1571661629886503E-5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3.7893429035077198E-5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3.4153313293212902E-5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5.2802614511805299E-5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3.4823162589783002E-5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4.2165185010571899E-5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6.1600997243597399E-5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3.5210872990832798E-5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4.3208942843573597E-5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6.3537765715635102E-5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3.8038243543099198E-5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SPS2_SOC_High!B1953</f>
        <v>SPS1</v>
      </c>
      <c r="C2165" s="5" t="str">
        <f>SPS2_SOC_High!C1953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0.77820483549751673</v>
      </c>
      <c r="H2165" s="3">
        <f t="shared" si="2109"/>
        <v>1.5119622423368613</v>
      </c>
      <c r="I2165" s="3">
        <f t="shared" si="2109"/>
        <v>6.4172506886584566</v>
      </c>
      <c r="J2165" s="3">
        <f t="shared" si="2109"/>
        <v>5.5739427086024254</v>
      </c>
      <c r="K2165" s="3">
        <f t="shared" si="2109"/>
        <v>4.1204150305039109</v>
      </c>
      <c r="L2165" s="3">
        <f t="shared" ref="L2165" si="2110">SUM(L2166:L2188)</f>
        <v>6.4330950677751115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0.24607180248566202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0.11511042041621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1.9691755137007998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2.51861484378218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2.78592841628203E-2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1.7483760559077999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3.4747571775905199E-2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9.3141580760296494E-2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0.65009304938274703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0.77263046458311102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0.15980880789471599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0.81257373600851901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2.6714238129570401E-2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6.6774502231749203E-2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3.4286798465123902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2.26390679964185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1.8285430000893801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3.87174797678641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6.0750574826761196E-3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7.0437925116413006E-3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0.367363112513927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8.6176275889901998E-4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8.3316465526301091E-4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3.4768341046156897E-4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5.3291842188817105E-4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5.0378770518452202E-5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3.0992090806650499E-5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3.3682530340771801E-5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2.2063892831637101E-4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1.1344612813749298E-5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1.5933131580084601E-5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2.33164544170535E-4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1.2518264682880701E-4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0.13191418111123498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2.86042525249641E-2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1.14051132886682E-4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1.2140640732299599E-4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1.43152831955103E-4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6.4745554116840401E-3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7.4186102812729303E-3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4.2357858800957094E-5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7.4812760545188203E-5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7.5765616300968695E-3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5.1677034530114505E-3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1.0344677477871901E-5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2.53157270638397E-4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2.4084892996343901E-4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0.273607307003089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0.37842408511320802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3.97888148220887E-5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5.5301464667838899E-3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2.0999701102885799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1.0076138085787199E-2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5.32176797480527E-2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8.5550820198743995E-4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1.35254218181539E-3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2.2551065255541902E-2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0.73383923175598997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6.93797013124987E-4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3.9006185795971302E-4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2.8238334902776799E-4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3.0109913260809804E-4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2.4536977991481497E-5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3.5875389712911299E-5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2.9639725052263202E-5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6.6904024722344501E-3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6.15267661752623E-3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4.05393515508951E-4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9.2145845210403702E-3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8.0807213506300392E-4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2.7243064981941202E-3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5.5728982283078298E-3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1.5396974258836E-4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8.3216141438681305E-4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3.3415387635263598E-4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2.3779028944992601E-3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1.08807253855762E-2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4.3880139559581495E-5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5.1733961784959106E-4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2.05021682538132E-4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6.8204641675086099E-5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7.2135246483347499E-5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4.5641684030385203E-5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2.3937562042734502E-5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2.1869593584997598E-5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0.56542402882585352</v>
      </c>
      <c r="H2189" s="3">
        <f t="shared" si="2113"/>
        <v>0.27332898039280246</v>
      </c>
      <c r="I2189" s="3">
        <f t="shared" si="2113"/>
        <v>2.8712201030356246</v>
      </c>
      <c r="J2189" s="3">
        <f t="shared" si="2113"/>
        <v>1.8933516263067125</v>
      </c>
      <c r="K2189" s="3">
        <f t="shared" si="2113"/>
        <v>0.93432079446010841</v>
      </c>
      <c r="L2189" s="3">
        <f t="shared" ref="L2189" si="2114">SUM(L2190:L2212)</f>
        <v>2.227921899765652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3.4795533847902599E-2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4.0382270139361805E-2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1.3882826467968601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1.10114509148593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3.5827665536138101E-2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1.16332187924911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1.20839400856194E-2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1.8752707353731E-2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1.2227157285663399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0.63436116378840002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0.51410541795850806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0.84763564313729001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5.4182511376356301E-3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7.1780910227927002E-3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0.25490845542920504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0.137328811030621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0.12701944460084899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0.21656219017099199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3.1037136138987198E-3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2.68665034746447E-3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2.6357402782433799E-3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7.463760373729051E-4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7.4424996682890198E-4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3.2117978701449003E-4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2.4352650618957299E-4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4.2984712622169994E-5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2.6518812400060699E-5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3.0816290579801497E-5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2.9779102615912505E-4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1.15956911454445E-5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1.1863298265972299E-5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4.4828274458532703E-4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3.02188975505104E-5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3.1084164549652301E-5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3.8327832399598103E-5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1.2600969072513199E-4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7.7768263973979013E-2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1.9587080169810402E-2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2.5439386161630999E-4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6.8775163943915401E-5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7.8669150208798499E-5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7.6129508442832504E-3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6.1795812980324407E-3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2.2678441866921299E-4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3.48827271657162E-5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5.9693778678578295E-5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2.8996349118833101E-3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2.3215845547976698E-3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3.8270410288597799E-4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2.0341709885068399E-5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4.1568301169876201E-5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4.5408025436033801E-4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4.7034541450022803E-4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1.16665751347633E-4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0.39533223932779099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0.14438293564874199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6.4406099335119292E-5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1.2561895230088899E-2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0.25322148969096903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1.0420127307786801E-2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1.4409400188122401E-2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1.08885702030024E-5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2.18446731491285E-3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1.05581657595245E-3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3.7787551295643501E-3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3.9811475000673703E-3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3.3077960475755599E-5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1.39765988114199E-3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6.3489465967687497E-4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4.73077310820733E-4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6.7610274839163007E-4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5.3707013805286198E-5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6.9564255385135497E-5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4.1812180603889603E-5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6.1925291255856699E-3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4.8771289840161894E-3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1.7475064065903401E-4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1.6273219751707401E-3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8.0665146058540404E-4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3.0337087329467003E-3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4.2068283311581401E-3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9.7472314277058497E-5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7.6105094348749602E-4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3.2930924434499E-4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1.8196409797684898E-3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2.7354439618993399E-3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9.6631523940386306E-5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9.1665704231779898E-4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2.8022259254154296E-4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2.3758224202754901E-4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5.01682729914602E-4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5.0439740103103202E-5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4.2768419570481603E-5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1.62857861031259E-5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1.84436336268901E-2</v>
      </c>
      <c r="G2213" s="3">
        <f t="shared" si="2117"/>
        <v>16.659231045505425</v>
      </c>
      <c r="H2213" s="3">
        <f t="shared" si="2117"/>
        <v>62.971445763322265</v>
      </c>
      <c r="I2213" s="3">
        <f t="shared" si="2117"/>
        <v>169.04831432614651</v>
      </c>
      <c r="J2213" s="3">
        <f t="shared" si="2117"/>
        <v>247.35232190710857</v>
      </c>
      <c r="K2213" s="3">
        <f t="shared" si="2117"/>
        <v>201.22654404610478</v>
      </c>
      <c r="L2213" s="3">
        <f t="shared" ref="L2213" si="2118">SUM(L2214:L2222)</f>
        <v>378.61958406917557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3.6409147471264101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2.90338983637267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137.17751973106601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247.35151825500301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201.22563847027399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378.618550709283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3.0327895704679197E-2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1.60291462169273E-2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3.5189101523637701E-3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8.0365210556012604E-4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9.0557583077277592E-4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1.0333598925879798E-3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5.8825364516143805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12.623609637119001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27.594327152662903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0.35239796044041399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1.64591006130717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0.80739535086164804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6.7094236436468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45.7518780656399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3.4302271659534904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1.84436336268901E-2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4.3630346972742297E-2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3.06290166665955E-2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3.5326015450105906E-2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3.3073416836613889</v>
      </c>
      <c r="H2223" s="3">
        <f t="shared" si="2119"/>
        <v>9.431179644205848</v>
      </c>
      <c r="I2223" s="3">
        <f t="shared" si="2119"/>
        <v>26.447726918016738</v>
      </c>
      <c r="J2223" s="3">
        <f t="shared" si="2119"/>
        <v>41.023867339527662</v>
      </c>
      <c r="K2223" s="3">
        <f t="shared" si="2119"/>
        <v>22.504003547234955</v>
      </c>
      <c r="L2223" s="3">
        <f t="shared" ref="L2223" si="2120">SUM(L2224:L2232)</f>
        <v>51.141482560205475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9.1762928364311103E-2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0.11109491548235499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14.0495135664084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14.7977138843529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17.929374590069301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51.1390428806777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4.0258976701460997E-3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3.8834709868793699E-3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6.7609010957936496E-3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2.6033224015355101E-3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1.12039199671402E-3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2.4396795277760101E-3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1.8992037766939498E-2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2.4883996860271498E-2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2.3297285450451701E-2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3.5037925691737198E-3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1.8713247796605899E-3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3.1847213923581501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9.2671659425573303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12.3072541278093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26.121117179774501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4.5372453866620699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7.8394275018420102E-3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2.4151318319011499E-2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6.09010372527935E-2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9.8929160429553589E-2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3.4391853727209903E-2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SPS2_SOC_High!B1822</f>
        <v>SPS1</v>
      </c>
      <c r="C2233" s="5" t="str">
        <f>SPS2_SOC_High!C1822</f>
        <v>CH</v>
      </c>
      <c r="D2233" s="2" t="s">
        <v>2367</v>
      </c>
      <c r="E2233" s="2" t="s">
        <v>1858</v>
      </c>
      <c r="F2233" s="3">
        <f t="shared" ref="F2233:K2233" si="2121">SUM(F2234,F2253)</f>
        <v>9.2747951800423026E-4</v>
      </c>
      <c r="G2233" s="3">
        <f t="shared" si="2121"/>
        <v>0.80505452541160993</v>
      </c>
      <c r="H2233" s="3">
        <f t="shared" si="2121"/>
        <v>1.7108824609429929</v>
      </c>
      <c r="I2233" s="3">
        <f t="shared" si="2121"/>
        <v>1.5949431058196593</v>
      </c>
      <c r="J2233" s="3">
        <f t="shared" si="2121"/>
        <v>3.5799791438424058</v>
      </c>
      <c r="K2233" s="3">
        <f t="shared" si="2121"/>
        <v>4.4083326514157779</v>
      </c>
      <c r="L2233" s="3">
        <f t="shared" ref="L2233" si="2122">SUM(L2234,L2253)</f>
        <v>4.2827488894207848</v>
      </c>
      <c r="N2233" s="1"/>
    </row>
    <row r="2234" spans="2:14" x14ac:dyDescent="0.35">
      <c r="B2234" s="5" t="str">
        <f>SPS2_SOC_High!B1822</f>
        <v>SPS1</v>
      </c>
      <c r="C2234" s="5" t="str">
        <f>SPS2_SOC_High!C1822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4.1194662357761994E-4</v>
      </c>
      <c r="G2234" s="1">
        <f t="shared" si="2123"/>
        <v>0.64783891011473771</v>
      </c>
      <c r="H2234" s="1">
        <f t="shared" si="2123"/>
        <v>1.5197995010772416</v>
      </c>
      <c r="I2234" s="1">
        <f t="shared" si="2123"/>
        <v>1.2764687265439361</v>
      </c>
      <c r="J2234" s="1">
        <f t="shared" si="2123"/>
        <v>2.7043209923435794</v>
      </c>
      <c r="K2234" s="1">
        <f t="shared" si="2123"/>
        <v>3.3990964303005669</v>
      </c>
      <c r="L2234" s="1">
        <f t="shared" ref="L2234" si="2124">SUM(L2235,L2238,L2240,L2243,L2245,L2247,L2249,L2251)</f>
        <v>3.0536775152618545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5.4120514479951917E-5</v>
      </c>
      <c r="G2235" s="1">
        <f t="shared" si="2125"/>
        <v>0.29034000911980073</v>
      </c>
      <c r="H2235" s="1">
        <f t="shared" si="2125"/>
        <v>0.91442057778673369</v>
      </c>
      <c r="I2235" s="1">
        <f t="shared" si="2125"/>
        <v>0.63297895948195371</v>
      </c>
      <c r="J2235" s="1">
        <f t="shared" si="2125"/>
        <v>1.7247468073821439</v>
      </c>
      <c r="K2235" s="1">
        <f t="shared" si="2125"/>
        <v>1.9779426096228043</v>
      </c>
      <c r="L2235" s="1">
        <f t="shared" ref="L2235" si="2126">SUM(L2236:L2237)</f>
        <v>2.1989036965026729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3.6407416260595233E-5</v>
      </c>
      <c r="G2236" s="1" cm="1">
        <f t="array" ref="G2236">SUMPRODUCT(([1]OUT_FinalEnergyCons!$B$4:$B$10000="var_ncap")*1,(ISNUMBER(SEARCH("RH*-SHELCBR",[1]OUT_FinalEnergyCons!$A$4:$A$10000)))*1,[1]OUT_FinalEnergyCons!E$4:E$10000)</f>
        <v>6.213355432844983E-2</v>
      </c>
      <c r="H2236" s="1" cm="1">
        <f t="array" ref="H2236">SUMPRODUCT(([1]OUT_FinalEnergyCons!$B$4:$B$10000="var_ncap")*1,(ISNUMBER(SEARCH("RH*-SHELCBR",[1]OUT_FinalEnergyCons!$A$4:$A$10000)))*1,[1]OUT_FinalEnergyCons!F$4:F$10000)</f>
        <v>9.38648539870647E-6</v>
      </c>
      <c r="I2236" s="1" cm="1">
        <f t="array" ref="I2236">SUMPRODUCT(([1]OUT_FinalEnergyCons!$B$4:$B$10000="var_ncap")*1,(ISNUMBER(SEARCH("RH*-SHELCBR",[1]OUT_FinalEnergyCons!$A$4:$A$10000)))*1,[1]OUT_FinalEnergyCons!G$4:G$10000)</f>
        <v>1.765937001825684E-5</v>
      </c>
      <c r="J2236" s="1" cm="1">
        <f t="array" ref="J2236">SUMPRODUCT(([2]OUT_FinalEnergyCons!$B$4:$B$10000="var_ncap")*1,(ISNUMBER(SEARCH("RH*-SHELCBR",[2]OUT_FinalEnergyCons!$A$4:$A$10000)))*1,[2]OUT_FinalEnergyCons!H$4:H$10000)</f>
        <v>5.3547924772640657E-3</v>
      </c>
      <c r="K2236" s="1" cm="1">
        <f t="array" ref="K2236">SUMPRODUCT(([2]OUT_FinalEnergyCons!$B$4:$B$10000="var_ncap")*1,(ISNUMBER(SEARCH("RH*-SHELCBR",[2]OUT_FinalEnergyCons!$A$4:$A$10000)))*1,[2]OUT_FinalEnergyCons!I$4:I$10000)</f>
        <v>6.6963700556328502E-4</v>
      </c>
      <c r="L2236" s="1" cm="1">
        <f t="array" ref="L2236">SUMPRODUCT(([2]OUT_FinalEnergyCons!$B$4:$B$10000="var_ncap")*1,(ISNUMBER(SEARCH("RH*-SHELCBR",[2]OUT_FinalEnergyCons!$A$4:$A$10000)))*1,[2]OUT_FinalEnergyCons!J$4:J$10000)</f>
        <v>2.2540210195481163E-4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1.7713098219356688E-5</v>
      </c>
      <c r="G2237" s="1" cm="1">
        <f t="array" ref="G2237">SUMPRODUCT(([1]OUT_FinalEnergyCons!$B$4:$B$10000="var_ncap")*1,ISNUMBER(SEARCH("RH*-SHELCHP",[1]OUT_FinalEnergyCons!$A$4:$A$10000))*1,[1]OUT_FinalEnergyCons!E$4:E$10000)</f>
        <v>0.22820645479135093</v>
      </c>
      <c r="H2237" s="1" cm="1">
        <f t="array" ref="H2237">SUMPRODUCT(([1]OUT_FinalEnergyCons!$B$4:$B$10000="var_ncap")*1,ISNUMBER(SEARCH("RH*-SHELCHP",[1]OUT_FinalEnergyCons!$A$4:$A$10000))*1,[1]OUT_FinalEnergyCons!F$4:F$10000)</f>
        <v>0.91441119130133497</v>
      </c>
      <c r="I2237" s="1" cm="1">
        <f t="array" ref="I2237">SUMPRODUCT(([1]OUT_FinalEnergyCons!$B$4:$B$10000="var_ncap")*1,ISNUMBER(SEARCH("RH*-SHELCHP",[1]OUT_FinalEnergyCons!$A$4:$A$10000))*1,[1]OUT_FinalEnergyCons!G$4:G$10000)</f>
        <v>0.63296130011193541</v>
      </c>
      <c r="J2237" s="1" cm="1">
        <f t="array" ref="J2237">SUMPRODUCT(([2]OUT_FinalEnergyCons!$B$4:$B$10000="var_ncap")*1,ISNUMBER(SEARCH("RH*-SHELCHP",[2]OUT_FinalEnergyCons!$A$4:$A$10000))*1,[2]OUT_FinalEnergyCons!H$4:H$10000)</f>
        <v>1.7193920149048798</v>
      </c>
      <c r="K2237" s="1" cm="1">
        <f t="array" ref="K2237">SUMPRODUCT(([2]OUT_FinalEnergyCons!$B$4:$B$10000="var_ncap")*1,ISNUMBER(SEARCH("RH*-SHELCHP",[2]OUT_FinalEnergyCons!$A$4:$A$10000))*1,[2]OUT_FinalEnergyCons!I$4:I$10000)</f>
        <v>1.9772729726172411</v>
      </c>
      <c r="L2237" s="1" cm="1">
        <f t="array" ref="L2237">SUMPRODUCT(([2]OUT_FinalEnergyCons!$B$4:$B$10000="var_ncap")*1,ISNUMBER(SEARCH("RH*-SHELCHP",[2]OUT_FinalEnergyCons!$A$4:$A$10000))*1,[2]OUT_FinalEnergyCons!J$4:J$10000)</f>
        <v>2.1986782944007182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1.138888488163087E-3</v>
      </c>
      <c r="H2238" s="1">
        <f t="shared" si="2130"/>
        <v>4.7674332778100986E-2</v>
      </c>
      <c r="I2238" s="1">
        <f t="shared" si="2130"/>
        <v>1.0970702233641169E-5</v>
      </c>
      <c r="J2238" s="1">
        <f t="shared" si="2130"/>
        <v>0.10187362678496881</v>
      </c>
      <c r="K2238" s="1">
        <f t="shared" si="2130"/>
        <v>0.22838637368774101</v>
      </c>
      <c r="L2238" s="1">
        <f t="shared" si="2130"/>
        <v>4.9532455024431094E-7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1.138888488163087E-3</v>
      </c>
      <c r="H2239" s="1" cm="1">
        <f t="array" ref="H2239">SUMPRODUCT(([1]OUT_FinalEnergyCons!$B$4:$B$10000="var_ncap")*1, (ISNUMBER(SEARCH("RH*-SHLFOBR",[1]OUT_FinalEnergyCons!$A$4:$A$10000)))*1,[1]OUT_FinalEnergyCons!F$4:F$10000)</f>
        <v>4.7674332778100986E-2</v>
      </c>
      <c r="I2239" s="1" cm="1">
        <f t="array" ref="I2239">SUMPRODUCT(([1]OUT_FinalEnergyCons!$B$4:$B$10000="var_ncap")*1, (ISNUMBER(SEARCH("RH*-SHLFOBR",[1]OUT_FinalEnergyCons!$A$4:$A$10000)))*1,[1]OUT_FinalEnergyCons!G$4:G$10000)</f>
        <v>1.0970702233641169E-5</v>
      </c>
      <c r="J2239" s="1" cm="1">
        <f t="array" ref="J2239">SUMPRODUCT(([2]OUT_FinalEnergyCons!$B$4:$B$10000="var_ncap")*1, (ISNUMBER(SEARCH("RH*-SHLFOBR",[2]OUT_FinalEnergyCons!$A$4:$A$10000)))*1,[2]OUT_FinalEnergyCons!H$4:H$10000)</f>
        <v>0.10187362678496881</v>
      </c>
      <c r="K2239" s="1" cm="1">
        <f t="array" ref="K2239">SUMPRODUCT(([2]OUT_FinalEnergyCons!$B$4:$B$10000="var_ncap")*1, (ISNUMBER(SEARCH("RH*-SHLFOBR",[2]OUT_FinalEnergyCons!$A$4:$A$10000)))*1,[2]OUT_FinalEnergyCons!I$4:I$10000)</f>
        <v>0.22838637368774101</v>
      </c>
      <c r="L2239" s="1" cm="1">
        <f t="array" ref="L2239">SUMPRODUCT(([2]OUT_FinalEnergyCons!$B$4:$B$10000="var_ncap")*1, (ISNUMBER(SEARCH("RH*-SHLFOBR",[2]OUT_FinalEnergyCons!$A$4:$A$10000)))*1,[2]OUT_FinalEnergyCons!J$4:J$10000)</f>
        <v>4.9532455024431094E-7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2.01254224972051E-6</v>
      </c>
      <c r="G2240" s="1">
        <f t="shared" si="2131"/>
        <v>0.21655892765079268</v>
      </c>
      <c r="H2240" s="1">
        <f t="shared" si="2131"/>
        <v>0.53528124255296095</v>
      </c>
      <c r="I2240" s="1">
        <f t="shared" si="2131"/>
        <v>0.63776859786337536</v>
      </c>
      <c r="J2240" s="1">
        <f t="shared" si="2131"/>
        <v>0.50162325615356185</v>
      </c>
      <c r="K2240" s="1">
        <f t="shared" si="2131"/>
        <v>1.0413243539586099</v>
      </c>
      <c r="L2240" s="1">
        <f t="shared" ref="L2240" si="2132">SUM(L2241:L2242)</f>
        <v>0.81473304571898209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0.21651169035486262</v>
      </c>
      <c r="H2241" s="1" cm="1">
        <f t="array" ref="H2241">SUMPRODUCT(([1]OUT_FinalEnergyCons!$B$4:$B$10000="var_ncap")*1, (ISNUMBER(SEARCH("RH*-SHNGABR",[1]OUT_FinalEnergyCons!$A$4:$A$10000)))*1,[1]OUT_FinalEnergyCons!F$4:F$10000)</f>
        <v>0.14209811073905579</v>
      </c>
      <c r="I2241" s="1" cm="1">
        <f t="array" ref="I2241">SUMPRODUCT(([1]OUT_FinalEnergyCons!$B$4:$B$10000="var_ncap")*1, (ISNUMBER(SEARCH("RH*-SHNGABR",[1]OUT_FinalEnergyCons!$A$4:$A$10000)))*1,[1]OUT_FinalEnergyCons!G$4:G$10000)</f>
        <v>8.8298527770358517E-5</v>
      </c>
      <c r="J2241" s="1" cm="1">
        <f t="array" ref="J2241">SUMPRODUCT(([2]OUT_FinalEnergyCons!$B$4:$B$10000="var_ncap")*1, (ISNUMBER(SEARCH("RH*-SHNGABR",[2]OUT_FinalEnergyCons!$A$4:$A$10000)))*1,[2]OUT_FinalEnergyCons!H$4:H$10000)</f>
        <v>0.21095766282880254</v>
      </c>
      <c r="K2241" s="1" cm="1">
        <f t="array" ref="K2241">SUMPRODUCT(([2]OUT_FinalEnergyCons!$B$4:$B$10000="var_ncap")*1, (ISNUMBER(SEARCH("RH*-SHNGABR",[2]OUT_FinalEnergyCons!$A$4:$A$10000)))*1,[2]OUT_FinalEnergyCons!I$4:I$10000)</f>
        <v>0.24514628597868285</v>
      </c>
      <c r="L2241" s="1" cm="1">
        <f t="array" ref="L2241">SUMPRODUCT(([2]OUT_FinalEnergyCons!$B$4:$B$10000="var_ncap")*1, (ISNUMBER(SEARCH("RH*-SHNGABR",[2]OUT_FinalEnergyCons!$A$4:$A$10000)))*1,[2]OUT_FinalEnergyCons!J$4:J$10000)</f>
        <v>3.9691652749397272E-6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2.01254224972051E-6</v>
      </c>
      <c r="G2242" s="1" cm="1">
        <f t="array" ref="G2242">SUMPRODUCT(([1]OUT_FinalEnergyCons!$B$4:$B$10000="var_ncap")*1,ISNUMBER(SEARCH("RH*-SHngahp",[1]OUT_FinalEnergyCons!$A$4:$A$10000))*1,[1]OUT_FinalEnergyCons!E$4:E$10000)</f>
        <v>4.7237295930073749E-5</v>
      </c>
      <c r="H2242" s="1" cm="1">
        <f t="array" ref="H2242">SUMPRODUCT(([1]OUT_FinalEnergyCons!$B$4:$B$10000="var_ncap")*1,ISNUMBER(SEARCH("RH*-SHngahp",[1]OUT_FinalEnergyCons!$A$4:$A$10000))*1,[1]OUT_FinalEnergyCons!F$4:F$10000)</f>
        <v>0.39318313181390518</v>
      </c>
      <c r="I2242" s="1" cm="1">
        <f t="array" ref="I2242">SUMPRODUCT(([1]OUT_FinalEnergyCons!$B$4:$B$10000="var_ncap")*1,ISNUMBER(SEARCH("RH*-SHngahp",[1]OUT_FinalEnergyCons!$A$4:$A$10000))*1,[1]OUT_FinalEnergyCons!G$4:G$10000)</f>
        <v>0.63768029933560499</v>
      </c>
      <c r="J2242" s="1" cm="1">
        <f t="array" ref="J2242">SUMPRODUCT(([2]OUT_FinalEnergyCons!$B$4:$B$10000="var_ncap")*1,ISNUMBER(SEARCH("RH*-SHngahp",[2]OUT_FinalEnergyCons!$A$4:$A$10000))*1,[2]OUT_FinalEnergyCons!H$4:H$10000)</f>
        <v>0.29066559332475933</v>
      </c>
      <c r="K2242" s="1" cm="1">
        <f t="array" ref="K2242">SUMPRODUCT(([2]OUT_FinalEnergyCons!$B$4:$B$10000="var_ncap")*1,ISNUMBER(SEARCH("RH*-SHngahp",[2]OUT_FinalEnergyCons!$A$4:$A$10000))*1,[2]OUT_FinalEnergyCons!I$4:I$10000)</f>
        <v>0.79617806797992696</v>
      </c>
      <c r="L2242" s="1" cm="1">
        <f t="array" ref="L2242">SUMPRODUCT(([2]OUT_FinalEnergyCons!$B$4:$B$10000="var_ncap")*1,ISNUMBER(SEARCH("RH*-SHngahp",[2]OUT_FinalEnergyCons!$A$4:$A$10000))*1,[2]OUT_FinalEnergyCons!J$4:J$10000)</f>
        <v>0.81472907655370719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1.52472387335808E-4</v>
      </c>
      <c r="G2245" s="1">
        <f t="shared" si="2134"/>
        <v>7.7543987368863199E-2</v>
      </c>
      <c r="H2245" s="1">
        <f t="shared" si="2134"/>
        <v>1.9790847298206411E-2</v>
      </c>
      <c r="I2245" s="1">
        <f t="shared" si="2134"/>
        <v>1.7615711874025338E-5</v>
      </c>
      <c r="J2245" s="1">
        <f t="shared" si="2134"/>
        <v>0.36562858773966017</v>
      </c>
      <c r="K2245" s="1">
        <f t="shared" si="2134"/>
        <v>0.1238545108912929</v>
      </c>
      <c r="L2245" s="1">
        <f t="shared" si="2134"/>
        <v>3.1998831614647387E-2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1.52472387335808E-4</v>
      </c>
      <c r="G2246" s="1" cm="1">
        <f t="array" ref="G2246">SUMPRODUCT(([1]OUT_FinalEnergyCons!$B$4:$B$10000="var_ncap")*1, (ISNUMBER(SEARCH("RH*-SHWODBR",[1]OUT_FinalEnergyCons!$A$4:$A$10000)))*1,[1]OUT_FinalEnergyCons!E$4:E$10000)</f>
        <v>7.7543987368863199E-2</v>
      </c>
      <c r="H2246" s="1" cm="1">
        <f t="array" ref="H2246">SUMPRODUCT(([1]OUT_FinalEnergyCons!$B$4:$B$10000="var_ncap")*1, (ISNUMBER(SEARCH("RH*-SHWODBR",[1]OUT_FinalEnergyCons!$A$4:$A$10000)))*1,[1]OUT_FinalEnergyCons!F$4:F$10000)</f>
        <v>1.9790847298206411E-2</v>
      </c>
      <c r="I2246" s="1" cm="1">
        <f t="array" ref="I2246">SUMPRODUCT(([1]OUT_FinalEnergyCons!$B$4:$B$10000="var_ncap")*1, (ISNUMBER(SEARCH("RH*-SHWODBR",[1]OUT_FinalEnergyCons!$A$4:$A$10000)))*1,[1]OUT_FinalEnergyCons!G$4:G$10000)</f>
        <v>1.7615711874025338E-5</v>
      </c>
      <c r="J2246" s="1" cm="1">
        <f t="array" ref="J2246">SUMPRODUCT(([2]OUT_FinalEnergyCons!$B$4:$B$10000="var_ncap")*1, (ISNUMBER(SEARCH("RH*-SHWODBR",[2]OUT_FinalEnergyCons!$A$4:$A$10000)))*1,[2]OUT_FinalEnergyCons!H$4:H$10000)</f>
        <v>0.36562858773966017</v>
      </c>
      <c r="K2246" s="1" cm="1">
        <f t="array" ref="K2246">SUMPRODUCT(([2]OUT_FinalEnergyCons!$B$4:$B$10000="var_ncap")*1, (ISNUMBER(SEARCH("RH*-SHWODBR",[2]OUT_FinalEnergyCons!$A$4:$A$10000)))*1,[2]OUT_FinalEnergyCons!I$4:I$10000)</f>
        <v>0.1238545108912929</v>
      </c>
      <c r="L2246" s="1" cm="1">
        <f t="array" ref="L2246">SUMPRODUCT(([2]OUT_FinalEnergyCons!$B$4:$B$10000="var_ncap")*1, (ISNUMBER(SEARCH("RH*-SHWODBR",[2]OUT_FinalEnergyCons!$A$4:$A$10000)))*1,[2]OUT_FinalEnergyCons!J$4:J$10000)</f>
        <v>3.1998831614647387E-2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5.1264948726625502E-5</v>
      </c>
      <c r="G2247" s="1">
        <f t="shared" si="2135"/>
        <v>3.6813878425653632E-2</v>
      </c>
      <c r="H2247" s="1">
        <f t="shared" si="2135"/>
        <v>1.0245407485941589E-3</v>
      </c>
      <c r="I2247" s="1">
        <f t="shared" si="2135"/>
        <v>1.1240670542202453E-3</v>
      </c>
      <c r="J2247" s="1">
        <f t="shared" si="2135"/>
        <v>1.0084847456513574E-2</v>
      </c>
      <c r="K2247" s="1">
        <f t="shared" si="2135"/>
        <v>2.2291694830851291E-2</v>
      </c>
      <c r="L2247" s="1">
        <f t="shared" si="2135"/>
        <v>7.1082604253160531E-3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5.1264948726625502E-5</v>
      </c>
      <c r="G2248" s="1" cm="1">
        <f t="array" ref="G2248">SUMPRODUCT(([1]OUT_FinalEnergyCons!$B$4:$B$10000="var_ncap")*1, (ISNUMBER(SEARCH("RH*-SHPLTBR",[1]OUT_FinalEnergyCons!$A$4:$A$10000)))*1,[1]OUT_FinalEnergyCons!E$4:E$10000)</f>
        <v>3.6813878425653632E-2</v>
      </c>
      <c r="H2248" s="1" cm="1">
        <f t="array" ref="H2248">SUMPRODUCT(([1]OUT_FinalEnergyCons!$B$4:$B$10000="var_ncap")*1, (ISNUMBER(SEARCH("RH*-SHPLTBR",[1]OUT_FinalEnergyCons!$A$4:$A$10000)))*1,[1]OUT_FinalEnergyCons!F$4:F$10000)</f>
        <v>1.0245407485941589E-3</v>
      </c>
      <c r="I2248" s="1" cm="1">
        <f t="array" ref="I2248">SUMPRODUCT(([1]OUT_FinalEnergyCons!$B$4:$B$10000="var_ncap")*1, (ISNUMBER(SEARCH("RH*-SHPLTBR",[1]OUT_FinalEnergyCons!$A$4:$A$10000)))*1,[1]OUT_FinalEnergyCons!G$4:G$10000)</f>
        <v>1.1240670542202453E-3</v>
      </c>
      <c r="J2248" s="1" cm="1">
        <f t="array" ref="J2248">SUMPRODUCT(([2]OUT_FinalEnergyCons!$B$4:$B$10000="var_ncap")*1, (ISNUMBER(SEARCH("RH*-SHPLTBR",[2]OUT_FinalEnergyCons!$A$4:$A$10000)))*1,[2]OUT_FinalEnergyCons!H$4:H$10000)</f>
        <v>1.0084847456513574E-2</v>
      </c>
      <c r="K2248" s="1" cm="1">
        <f t="array" ref="K2248">SUMPRODUCT(([2]OUT_FinalEnergyCons!$B$4:$B$10000="var_ncap")*1, (ISNUMBER(SEARCH("RH*-SHPLTBR",[2]OUT_FinalEnergyCons!$A$4:$A$10000)))*1,[2]OUT_FinalEnergyCons!I$4:I$10000)</f>
        <v>2.2291694830851291E-2</v>
      </c>
      <c r="L2248" s="1" cm="1">
        <f t="array" ref="L2248">SUMPRODUCT(([2]OUT_FinalEnergyCons!$B$4:$B$10000="var_ncap")*1, (ISNUMBER(SEARCH("RH*-SHPLTBR",[2]OUT_FinalEnergyCons!$A$4:$A$10000)))*1,[2]OUT_FinalEnergyCons!J$4:J$10000)</f>
        <v>7.1082604253160531E-3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1.52076230785514E-4</v>
      </c>
      <c r="G2249" s="1">
        <f t="shared" si="2136"/>
        <v>2.544321906146424E-2</v>
      </c>
      <c r="H2249" s="1">
        <f t="shared" si="2136"/>
        <v>1.6079599126453466E-3</v>
      </c>
      <c r="I2249" s="1">
        <f t="shared" si="2136"/>
        <v>4.568515730278922E-3</v>
      </c>
      <c r="J2249" s="1">
        <f t="shared" si="2136"/>
        <v>3.6386682673153145E-4</v>
      </c>
      <c r="K2249" s="1">
        <f t="shared" si="2136"/>
        <v>5.2968873092675232E-3</v>
      </c>
      <c r="L2249" s="1">
        <f t="shared" si="2136"/>
        <v>9.331856756855855E-4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1.52076230785514E-4</v>
      </c>
      <c r="G2250" s="1" cm="1">
        <f t="array" ref="G2250">SUMPRODUCT(([1]OUT_FinalEnergyCons!$B$4:$B$10000="var_ncap")*1, (ISNUMBER(SEARCH("RH*-SHSOLBR",[1]OUT_FinalEnergyCons!$A$4:$A$10000)))*1,[1]OUT_FinalEnergyCons!E$4:E$10000)</f>
        <v>2.544321906146424E-2</v>
      </c>
      <c r="H2250" s="1" cm="1">
        <f t="array" ref="H2250">SUMPRODUCT(([1]OUT_FinalEnergyCons!$B$4:$B$10000="var_ncap")*1, (ISNUMBER(SEARCH("RH*-SHSOLBR",[1]OUT_FinalEnergyCons!$A$4:$A$10000)))*1,[1]OUT_FinalEnergyCons!F$4:F$10000)</f>
        <v>1.6079599126453466E-3</v>
      </c>
      <c r="I2250" s="1" cm="1">
        <f t="array" ref="I2250">SUMPRODUCT(([1]OUT_FinalEnergyCons!$B$4:$B$10000="var_ncap")*1, (ISNUMBER(SEARCH("RH*-SHSOLBR",[1]OUT_FinalEnergyCons!$A$4:$A$10000)))*1,[1]OUT_FinalEnergyCons!G$4:G$10000)</f>
        <v>4.568515730278922E-3</v>
      </c>
      <c r="J2250" s="1" cm="1">
        <f t="array" ref="J2250">SUMPRODUCT(([2]OUT_FinalEnergyCons!$B$4:$B$10000="var_ncap")*1, (ISNUMBER(SEARCH("RH*-SHSOLBR",[2]OUT_FinalEnergyCons!$A$4:$A$10000)))*1,[2]OUT_FinalEnergyCons!H$4:H$10000)</f>
        <v>3.6386682673153145E-4</v>
      </c>
      <c r="K2250" s="1" cm="1">
        <f t="array" ref="K2250">SUMPRODUCT(([2]OUT_FinalEnergyCons!$B$4:$B$10000="var_ncap")*1, (ISNUMBER(SEARCH("RH*-SHSOLBR",[2]OUT_FinalEnergyCons!$A$4:$A$10000)))*1,[2]OUT_FinalEnergyCons!I$4:I$10000)</f>
        <v>5.2968873092675232E-3</v>
      </c>
      <c r="L2250" s="1" cm="1">
        <f t="array" ref="L2250">SUMPRODUCT(([2]OUT_FinalEnergyCons!$B$4:$B$10000="var_ncap")*1, (ISNUMBER(SEARCH("RH*-SHSOLBR",[2]OUT_FinalEnergyCons!$A$4:$A$10000)))*1,[2]OUT_FinalEnergyCons!J$4:J$10000)</f>
        <v>9.331856756855855E-4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5.1553289442661033E-4</v>
      </c>
      <c r="G2253" s="1">
        <f t="shared" si="2138"/>
        <v>0.15721561529687225</v>
      </c>
      <c r="H2253" s="1">
        <f t="shared" si="2138"/>
        <v>0.19108295986575141</v>
      </c>
      <c r="I2253" s="1">
        <f t="shared" si="2138"/>
        <v>0.3184743792757232</v>
      </c>
      <c r="J2253" s="1">
        <f t="shared" si="2138"/>
        <v>0.87565815149882653</v>
      </c>
      <c r="K2253" s="1">
        <f t="shared" si="2138"/>
        <v>1.0092362211152113</v>
      </c>
      <c r="L2253" s="1">
        <f t="shared" ref="L2253" si="2139">SUM(L2254,L2257,L2259,L2262,L2264,L2266,L2268,L2270)</f>
        <v>1.2290713741589305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5.1553289442661033E-4</v>
      </c>
      <c r="G2254" s="1">
        <f t="shared" si="2140"/>
        <v>6.72384169139537E-2</v>
      </c>
      <c r="H2254" s="1">
        <f t="shared" si="2140"/>
        <v>7.9381326181032663E-2</v>
      </c>
      <c r="I2254" s="1">
        <f t="shared" si="2140"/>
        <v>0.17381021124043577</v>
      </c>
      <c r="J2254" s="1">
        <f t="shared" si="2140"/>
        <v>0.48078420420346618</v>
      </c>
      <c r="K2254" s="1">
        <f t="shared" si="2140"/>
        <v>0.51514111219594905</v>
      </c>
      <c r="L2254" s="1">
        <f t="shared" ref="L2254" si="2141">SUM(L2255:L2256)</f>
        <v>0.75536646325137469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4.8522223533181398E-4</v>
      </c>
      <c r="G2255" s="1" cm="1">
        <f t="array" ref="G2255">SUMPRODUCT(([1]OUT_FinalEnergyCons!$B$4:$B$10000="var_ncap")*1,(ISNUMBER(SEARCH("RH*-WHELCBR",[1]OUT_FinalEnergyCons!$A$4:$A$10000)))*1,[1]OUT_FinalEnergyCons!E$4:E$10000)</f>
        <v>3.42205483671617E-2</v>
      </c>
      <c r="H2255" s="1" cm="1">
        <f t="array" ref="H2255">SUMPRODUCT(([1]OUT_FinalEnergyCons!$B$4:$B$10000="var_ncap")*1,(ISNUMBER(SEARCH("RH*-WHELCBR",[1]OUT_FinalEnergyCons!$A$4:$A$10000)))*1,[1]OUT_FinalEnergyCons!F$4:F$10000)</f>
        <v>6.2666672536612602E-6</v>
      </c>
      <c r="I2255" s="1" cm="1">
        <f t="array" ref="I2255">SUMPRODUCT(([1]OUT_FinalEnergyCons!$B$4:$B$10000="var_ncap")*1,(ISNUMBER(SEARCH("RH*-WHELCBR",[1]OUT_FinalEnergyCons!$A$4:$A$10000)))*1,[1]OUT_FinalEnergyCons!G$4:G$10000)</f>
        <v>1.11083084967643E-5</v>
      </c>
      <c r="J2255" s="1" cm="1">
        <f t="array" ref="J2255">SUMPRODUCT(([2]OUT_FinalEnergyCons!$B$4:$B$10000="var_ncap")*1,(ISNUMBER(SEARCH("RH*-WHELCBR",[2]OUT_FinalEnergyCons!$A$4:$A$10000)))*1,[2]OUT_FinalEnergyCons!H$4:H$10000)</f>
        <v>7.4468293063136196E-2</v>
      </c>
      <c r="K2255" s="1" cm="1">
        <f t="array" ref="K2255">SUMPRODUCT(([2]OUT_FinalEnergyCons!$B$4:$B$10000="var_ncap")*1,(ISNUMBER(SEARCH("RH*-WHELCBR",[2]OUT_FinalEnergyCons!$A$4:$A$10000)))*1,[2]OUT_FinalEnergyCons!I$4:I$10000)</f>
        <v>0.11112570629094</v>
      </c>
      <c r="L2255" s="1" cm="1">
        <f t="array" ref="L2255">SUMPRODUCT(([2]OUT_FinalEnergyCons!$B$4:$B$10000="var_ncap")*1,(ISNUMBER(SEARCH("RH*-WHELCBR",[2]OUT_FinalEnergyCons!$A$4:$A$10000)))*1,[2]OUT_FinalEnergyCons!J$4:J$10000)</f>
        <v>4.5254897801373699E-2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3.0310659094796301E-5</v>
      </c>
      <c r="G2256" s="1" cm="1">
        <f t="array" ref="G2256">SUMPRODUCT(([1]OUT_FinalEnergyCons!$B$4:$B$10000="var_ncap")*1,ISNUMBER(SEARCH("RH*-WHELCHP",[1]OUT_FinalEnergyCons!$A$4:$A$10000))*1,[1]OUT_FinalEnergyCons!E$4:E$10000)</f>
        <v>3.3017868546791999E-2</v>
      </c>
      <c r="H2256" s="1" cm="1">
        <f t="array" ref="H2256">SUMPRODUCT(([1]OUT_FinalEnergyCons!$B$4:$B$10000="var_ncap")*1,ISNUMBER(SEARCH("RH*-WHELCHP",[1]OUT_FinalEnergyCons!$A$4:$A$10000))*1,[1]OUT_FinalEnergyCons!F$4:F$10000)</f>
        <v>7.9375059513779003E-2</v>
      </c>
      <c r="I2256" s="1" cm="1">
        <f t="array" ref="I2256">SUMPRODUCT(([1]OUT_FinalEnergyCons!$B$4:$B$10000="var_ncap")*1,ISNUMBER(SEARCH("RH*-WHELCHP",[1]OUT_FinalEnergyCons!$A$4:$A$10000))*1,[1]OUT_FinalEnergyCons!G$4:G$10000)</f>
        <v>0.17379910293193901</v>
      </c>
      <c r="J2256" s="1" cm="1">
        <f t="array" ref="J2256">SUMPRODUCT(([2]OUT_FinalEnergyCons!$B$4:$B$10000="var_ncap")*1,ISNUMBER(SEARCH("RH*-WHELCHP",[2]OUT_FinalEnergyCons!$A$4:$A$10000))*1,[2]OUT_FinalEnergyCons!H$4:H$10000)</f>
        <v>0.40631591114033</v>
      </c>
      <c r="K2256" s="1" cm="1">
        <f t="array" ref="K2256">SUMPRODUCT(([2]OUT_FinalEnergyCons!$B$4:$B$10000="var_ncap")*1,ISNUMBER(SEARCH("RH*-WHELCHP",[2]OUT_FinalEnergyCons!$A$4:$A$10000))*1,[2]OUT_FinalEnergyCons!I$4:I$10000)</f>
        <v>0.40401540590500901</v>
      </c>
      <c r="L2256" s="1" cm="1">
        <f t="array" ref="L2256">SUMPRODUCT(([2]OUT_FinalEnergyCons!$B$4:$B$10000="var_ncap")*1,ISNUMBER(SEARCH("RH*-WHELCHP",[2]OUT_FinalEnergyCons!$A$4:$A$10000))*1,[2]OUT_FinalEnergyCons!J$4:J$10000)</f>
        <v>0.71011156545000098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6.7005014714817597E-6</v>
      </c>
      <c r="H2257" s="1">
        <f t="shared" si="2142"/>
        <v>2.76600558444557E-6</v>
      </c>
      <c r="I2257" s="1">
        <f t="shared" si="2142"/>
        <v>5.4987703994920097E-6</v>
      </c>
      <c r="J2257" s="1">
        <f t="shared" si="2142"/>
        <v>4.2231723691140997E-2</v>
      </c>
      <c r="K2257" s="1">
        <f t="shared" si="2142"/>
        <v>1.88401588663074E-2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6.7005014714817597E-6</v>
      </c>
      <c r="H2258" s="1" cm="1">
        <f t="array" ref="H2258">SUMPRODUCT(([1]OUT_FinalEnergyCons!$B$4:$B$10000="var_ncap")*1, (ISNUMBER(SEARCH("RH*-WHLFOBR",[1]OUT_FinalEnergyCons!$A$4:$A$10000)))*1,[1]OUT_FinalEnergyCons!F$4:F$10000)</f>
        <v>2.76600558444557E-6</v>
      </c>
      <c r="I2258" s="1" cm="1">
        <f t="array" ref="I2258">SUMPRODUCT(([1]OUT_FinalEnergyCons!$B$4:$B$10000="var_ncap")*1, (ISNUMBER(SEARCH("RH*-WHLFOBR",[1]OUT_FinalEnergyCons!$A$4:$A$10000)))*1,[1]OUT_FinalEnergyCons!G$4:G$10000)</f>
        <v>5.4987703994920097E-6</v>
      </c>
      <c r="J2258" s="1" cm="1">
        <f t="array" ref="J2258">SUMPRODUCT(([2]OUT_FinalEnergyCons!$B$4:$B$10000="var_ncap")*1, (ISNUMBER(SEARCH("RH*-WHLFOBR",[2]OUT_FinalEnergyCons!$A$4:$A$10000)))*1,[2]OUT_FinalEnergyCons!H$4:H$10000)</f>
        <v>4.2231723691140997E-2</v>
      </c>
      <c r="K2258" s="1" cm="1">
        <f t="array" ref="K2258">SUMPRODUCT(([2]OUT_FinalEnergyCons!$B$4:$B$10000="var_ncap")*1, (ISNUMBER(SEARCH("RH*-WHLFOBR",[2]OUT_FinalEnergyCons!$A$4:$A$10000)))*1,[2]OUT_FinalEnergyCons!I$4:I$10000)</f>
        <v>1.88401588663074E-2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2.4932949770555E-5</v>
      </c>
      <c r="H2259" s="1">
        <f t="shared" si="2143"/>
        <v>7.3025407410924809E-2</v>
      </c>
      <c r="I2259" s="1">
        <f t="shared" si="2143"/>
        <v>0.14387154748207451</v>
      </c>
      <c r="J2259" s="1">
        <f t="shared" si="2143"/>
        <v>0.19029316140601971</v>
      </c>
      <c r="K2259" s="1">
        <f t="shared" si="2143"/>
        <v>0.27126265551015488</v>
      </c>
      <c r="L2259" s="1">
        <f t="shared" ref="L2259" si="2144">SUM(L2260:L2261)</f>
        <v>0.32244159697847191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1.2777307758621499E-5</v>
      </c>
      <c r="H2260" s="1" cm="1">
        <f t="array" ref="H2260">SUMPRODUCT(([1]OUT_FinalEnergyCons!$B$4:$B$10000="var_ncap")*1, (ISNUMBER(SEARCH("RH*-WHNGABR",[1]OUT_FinalEnergyCons!$A$4:$A$10000)))*1,[1]OUT_FinalEnergyCons!F$4:F$10000)</f>
        <v>5.2685956135009598E-6</v>
      </c>
      <c r="I2260" s="1" cm="1">
        <f t="array" ref="I2260">SUMPRODUCT(([1]OUT_FinalEnergyCons!$B$4:$B$10000="var_ncap")*1, (ISNUMBER(SEARCH("RH*-WHNGABR",[1]OUT_FinalEnergyCons!$A$4:$A$10000)))*1,[1]OUT_FinalEnergyCons!G$4:G$10000)</f>
        <v>6.4269173914872399E-6</v>
      </c>
      <c r="J2260" s="1" cm="1">
        <f t="array" ref="J2260">SUMPRODUCT(([2]OUT_FinalEnergyCons!$B$4:$B$10000="var_ncap")*1, (ISNUMBER(SEARCH("RH*-WHNGABR",[2]OUT_FinalEnergyCons!$A$4:$A$10000)))*1,[2]OUT_FinalEnergyCons!H$4:H$10000)</f>
        <v>5.3771495199597702E-2</v>
      </c>
      <c r="K2260" s="1" cm="1">
        <f t="array" ref="K2260">SUMPRODUCT(([2]OUT_FinalEnergyCons!$B$4:$B$10000="var_ncap")*1, (ISNUMBER(SEARCH("RH*-WHNGABR",[2]OUT_FinalEnergyCons!$A$4:$A$10000)))*1,[2]OUT_FinalEnergyCons!I$4:I$10000)</f>
        <v>5.3887249553216901E-2</v>
      </c>
      <c r="L2260" s="1" cm="1">
        <f t="array" ref="L2260">SUMPRODUCT(([2]OUT_FinalEnergyCons!$B$4:$B$10000="var_ncap")*1, (ISNUMBER(SEARCH("RH*-WHNGABR",[2]OUT_FinalEnergyCons!$A$4:$A$10000)))*1,[2]OUT_FinalEnergyCons!J$4:J$10000)</f>
        <v>1.4505479898651099E-6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1.2155642011933501E-5</v>
      </c>
      <c r="H2261" s="1" cm="1">
        <f t="array" ref="H2261">SUMPRODUCT(([1]OUT_FinalEnergyCons!$B$4:$B$10000="var_ncap")*1,ISNUMBER(SEARCH("RH*-WHngahp",[1]OUT_FinalEnergyCons!$A$4:$A$10000))*1,[1]OUT_FinalEnergyCons!F$4:F$10000)</f>
        <v>7.3020138815311303E-2</v>
      </c>
      <c r="I2261" s="1" cm="1">
        <f t="array" ref="I2261">SUMPRODUCT(([1]OUT_FinalEnergyCons!$B$4:$B$10000="var_ncap")*1,ISNUMBER(SEARCH("RH*-WHngahp",[1]OUT_FinalEnergyCons!$A$4:$A$10000))*1,[1]OUT_FinalEnergyCons!G$4:G$10000)</f>
        <v>0.14386512056468301</v>
      </c>
      <c r="J2261" s="1" cm="1">
        <f t="array" ref="J2261">SUMPRODUCT(([2]OUT_FinalEnergyCons!$B$4:$B$10000="var_ncap")*1,ISNUMBER(SEARCH("RH*-WHngahp",[2]OUT_FinalEnergyCons!$A$4:$A$10000))*1,[2]OUT_FinalEnergyCons!H$4:H$10000)</f>
        <v>0.136521666206422</v>
      </c>
      <c r="K2261" s="1" cm="1">
        <f t="array" ref="K2261">SUMPRODUCT(([2]OUT_FinalEnergyCons!$B$4:$B$10000="var_ncap")*1,ISNUMBER(SEARCH("RH*-WHngahp",[2]OUT_FinalEnergyCons!$A$4:$A$10000))*1,[2]OUT_FinalEnergyCons!I$4:I$10000)</f>
        <v>0.21737540595693799</v>
      </c>
      <c r="L2261" s="1" cm="1">
        <f t="array" ref="L2261">SUMPRODUCT(([2]OUT_FinalEnergyCons!$B$4:$B$10000="var_ncap")*1,ISNUMBER(SEARCH("RH*-WHngahp",[2]OUT_FinalEnergyCons!$A$4:$A$10000))*1,[2]OUT_FinalEnergyCons!J$4:J$10000)</f>
        <v>0.32244014643048202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5.41651913412056E-3</v>
      </c>
      <c r="H2264" s="1">
        <f t="shared" si="2146"/>
        <v>3.8637788231454202E-2</v>
      </c>
      <c r="I2264" s="1">
        <f t="shared" si="2146"/>
        <v>6.3872109185682095E-4</v>
      </c>
      <c r="J2264" s="1">
        <f t="shared" si="2146"/>
        <v>2.4894644369849599E-2</v>
      </c>
      <c r="K2264" s="1">
        <f t="shared" si="2146"/>
        <v>4.2278631256397498E-2</v>
      </c>
      <c r="L2264" s="1">
        <f t="shared" si="2146"/>
        <v>1.70617327153549E-2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5.41651913412056E-3</v>
      </c>
      <c r="H2265" s="1" cm="1">
        <f t="array" ref="H2265">SUMPRODUCT(([1]OUT_FinalEnergyCons!$B$4:$B$10000="var_ncap")*1, (ISNUMBER(SEARCH("RH*-WHWODBR",[1]OUT_FinalEnergyCons!$A$4:$A$10000)))*1,[1]OUT_FinalEnergyCons!F$4:F$10000)</f>
        <v>3.8637788231454202E-2</v>
      </c>
      <c r="I2265" s="1" cm="1">
        <f t="array" ref="I2265">SUMPRODUCT(([1]OUT_FinalEnergyCons!$B$4:$B$10000="var_ncap")*1, (ISNUMBER(SEARCH("RH*-WHWODBR",[1]OUT_FinalEnergyCons!$A$4:$A$10000)))*1,[1]OUT_FinalEnergyCons!G$4:G$10000)</f>
        <v>6.3872109185682095E-4</v>
      </c>
      <c r="J2265" s="1" cm="1">
        <f t="array" ref="J2265">SUMPRODUCT(([2]OUT_FinalEnergyCons!$B$4:$B$10000="var_ncap")*1, (ISNUMBER(SEARCH("RH*-WHWODBR",[2]OUT_FinalEnergyCons!$A$4:$A$10000)))*1,[2]OUT_FinalEnergyCons!H$4:H$10000)</f>
        <v>2.4894644369849599E-2</v>
      </c>
      <c r="K2265" s="1" cm="1">
        <f t="array" ref="K2265">SUMPRODUCT(([2]OUT_FinalEnergyCons!$B$4:$B$10000="var_ncap")*1, (ISNUMBER(SEARCH("RH*-WHWODBR",[2]OUT_FinalEnergyCons!$A$4:$A$10000)))*1,[2]OUT_FinalEnergyCons!I$4:I$10000)</f>
        <v>4.2278631256397498E-2</v>
      </c>
      <c r="L2265" s="1" cm="1">
        <f t="array" ref="L2265">SUMPRODUCT(([2]OUT_FinalEnergyCons!$B$4:$B$10000="var_ncap")*1, (ISNUMBER(SEARCH("RH*-WHWODBR",[2]OUT_FinalEnergyCons!$A$4:$A$10000)))*1,[2]OUT_FinalEnergyCons!J$4:J$10000)</f>
        <v>1.70617327153549E-2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2.0553897283731399E-3</v>
      </c>
      <c r="H2266" s="1">
        <f t="shared" si="2147"/>
        <v>2.8160175840249901E-6</v>
      </c>
      <c r="I2266" s="1">
        <f t="shared" si="2147"/>
        <v>5.5789752107580097E-5</v>
      </c>
      <c r="J2266" s="1">
        <f t="shared" si="2147"/>
        <v>5.10637200223708E-3</v>
      </c>
      <c r="K2266" s="1">
        <f t="shared" si="2147"/>
        <v>4.6739937762653103E-3</v>
      </c>
      <c r="L2266" s="1">
        <f t="shared" si="2147"/>
        <v>4.7854995870301297E-3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2.0553897283731399E-3</v>
      </c>
      <c r="H2267" s="1" cm="1">
        <f t="array" ref="H2267">SUMPRODUCT(([1]OUT_FinalEnergyCons!$B$4:$B$10000="var_ncap")*1, (ISNUMBER(SEARCH("RH*-WHPLTBR",[1]OUT_FinalEnergyCons!$A$4:$A$10000)))*1,[1]OUT_FinalEnergyCons!F$4:F$10000)</f>
        <v>2.8160175840249901E-6</v>
      </c>
      <c r="I2267" s="1" cm="1">
        <f t="array" ref="I2267">SUMPRODUCT(([1]OUT_FinalEnergyCons!$B$4:$B$10000="var_ncap")*1, (ISNUMBER(SEARCH("RH*-WHPLTBR",[1]OUT_FinalEnergyCons!$A$4:$A$10000)))*1,[1]OUT_FinalEnergyCons!G$4:G$10000)</f>
        <v>5.5789752107580097E-5</v>
      </c>
      <c r="J2267" s="1" cm="1">
        <f t="array" ref="J2267">SUMPRODUCT(([2]OUT_FinalEnergyCons!$B$4:$B$10000="var_ncap")*1, (ISNUMBER(SEARCH("RH*-WHPLTBR",[2]OUT_FinalEnergyCons!$A$4:$A$10000)))*1,[2]OUT_FinalEnergyCons!H$4:H$10000)</f>
        <v>5.10637200223708E-3</v>
      </c>
      <c r="K2267" s="1" cm="1">
        <f t="array" ref="K2267">SUMPRODUCT(([2]OUT_FinalEnergyCons!$B$4:$B$10000="var_ncap")*1, (ISNUMBER(SEARCH("RH*-WHPLTBR",[2]OUT_FinalEnergyCons!$A$4:$A$10000)))*1,[2]OUT_FinalEnergyCons!I$4:I$10000)</f>
        <v>4.6739937762653103E-3</v>
      </c>
      <c r="L2267" s="1" cm="1">
        <f t="array" ref="L2267">SUMPRODUCT(([2]OUT_FinalEnergyCons!$B$4:$B$10000="var_ncap")*1, (ISNUMBER(SEARCH("RH*-WHPLTBR",[2]OUT_FinalEnergyCons!$A$4:$A$10000)))*1,[2]OUT_FinalEnergyCons!J$4:J$10000)</f>
        <v>4.7854995870301297E-3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8.2473656069182805E-2</v>
      </c>
      <c r="H2268" s="1">
        <f t="shared" si="2151"/>
        <v>3.2856019171264001E-5</v>
      </c>
      <c r="I2268" s="1">
        <f t="shared" si="2151"/>
        <v>9.2610938849064297E-5</v>
      </c>
      <c r="J2268" s="1">
        <f t="shared" si="2151"/>
        <v>0.13234804582611301</v>
      </c>
      <c r="K2268" s="1">
        <f t="shared" si="2151"/>
        <v>0.15703966951013701</v>
      </c>
      <c r="L2268" s="1">
        <f t="shared" si="2151"/>
        <v>0.12941608162669899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8.2473656069182805E-2</v>
      </c>
      <c r="H2269" s="1" cm="1">
        <f t="array" ref="H2269">SUMPRODUCT(([1]OUT_FinalEnergyCons!$B$4:$B$10000="var_ncap")*1, (ISNUMBER(SEARCH("RH*-WHSOLBR",[1]OUT_FinalEnergyCons!$A$4:$A$10000)))*1,[1]OUT_FinalEnergyCons!F$4:F$10000)</f>
        <v>3.2856019171264001E-5</v>
      </c>
      <c r="I2269" s="1" cm="1">
        <f t="array" ref="I2269">SUMPRODUCT(([1]OUT_FinalEnergyCons!$B$4:$B$10000="var_ncap")*1, (ISNUMBER(SEARCH("RH*-WHSOLBR",[1]OUT_FinalEnergyCons!$A$4:$A$10000)))*1,[1]OUT_FinalEnergyCons!G$4:G$10000)</f>
        <v>9.2610938849064297E-5</v>
      </c>
      <c r="J2269" s="1" cm="1">
        <f t="array" ref="J2269">SUMPRODUCT(([2]OUT_FinalEnergyCons!$B$4:$B$10000="var_ncap")*1, (ISNUMBER(SEARCH("RH*-WHSOLBR",[2]OUT_FinalEnergyCons!$A$4:$A$10000)))*1,[2]OUT_FinalEnergyCons!H$4:H$10000)</f>
        <v>0.13234804582611301</v>
      </c>
      <c r="K2269" s="1" cm="1">
        <f t="array" ref="K2269">SUMPRODUCT(([2]OUT_FinalEnergyCons!$B$4:$B$10000="var_ncap")*1, (ISNUMBER(SEARCH("RH*-WHSOLBR",[2]OUT_FinalEnergyCons!$A$4:$A$10000)))*1,[2]OUT_FinalEnergyCons!I$4:I$10000)</f>
        <v>0.15703966951013701</v>
      </c>
      <c r="L2269" s="1" cm="1">
        <f t="array" ref="L2269">SUMPRODUCT(([2]OUT_FinalEnergyCons!$B$4:$B$10000="var_ncap")*1, (ISNUMBER(SEARCH("RH*-WHSOLBR",[2]OUT_FinalEnergyCons!$A$4:$A$10000)))*1,[2]OUT_FinalEnergyCons!J$4:J$10000)</f>
        <v>0.12941608162669899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1.33925594243944E-2</v>
      </c>
      <c r="G2272" s="17">
        <f t="shared" si="2153"/>
        <v>0.65185538060459858</v>
      </c>
      <c r="H2272" s="17">
        <f t="shared" si="2153"/>
        <v>0.10732356713705589</v>
      </c>
      <c r="I2272" s="17">
        <f t="shared" si="2153"/>
        <v>0.49080247409825889</v>
      </c>
      <c r="J2272" s="17">
        <f t="shared" si="2153"/>
        <v>2.623908093082068</v>
      </c>
      <c r="K2272" s="17">
        <f t="shared" si="2153"/>
        <v>0.65766060503014745</v>
      </c>
      <c r="L2272" s="17">
        <f t="shared" ref="L2272" si="2154">SUM(L2273,L2276,L2279,L2283,L2285,L2287,L2289,L2291,L2293)</f>
        <v>1.8951932918870678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0.21557846636999231</v>
      </c>
      <c r="H2273" s="18">
        <f t="shared" si="2155"/>
        <v>7.9262407946784907E-2</v>
      </c>
      <c r="I2273" s="18">
        <f t="shared" si="2155"/>
        <v>0.44848510922009399</v>
      </c>
      <c r="J2273" s="18">
        <f t="shared" si="2155"/>
        <v>0.97267138996601699</v>
      </c>
      <c r="K2273" s="18">
        <f t="shared" si="2155"/>
        <v>0.28141255133862891</v>
      </c>
      <c r="L2273" s="18">
        <f t="shared" ref="L2273" si="2156">SUM(L2274:L2275)</f>
        <v>1.168635882729868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0.195937581071362</v>
      </c>
      <c r="H2274" s="1" cm="1">
        <f t="array" ref="H2274">SUMPRODUCT(([1]OUT_FinalEnergyCons!$B$4:$B$10000="var_ncap")*1,  (ISNUMBER(SEARCH("ITOT-SWHELCBR",[1]OUT_FinalEnergyCons!$A$4:$A$10000)))*1,[1]OUT_FinalEnergyCons!F$4:F$10000)</f>
        <v>1.4658584998031E-2</v>
      </c>
      <c r="I2274" s="1" cm="1">
        <f t="array" ref="I2274">SUMPRODUCT(([1]OUT_FinalEnergyCons!$B$4:$B$10000="var_ncap")*1,  (ISNUMBER(SEARCH("ITOT-SWHELCBR",[1]OUT_FinalEnergyCons!$A$4:$A$10000)))*1,[1]OUT_FinalEnergyCons!G$4:G$10000)</f>
        <v>0.258033237202895</v>
      </c>
      <c r="J2274" s="1" cm="1">
        <f t="array" ref="J2274">SUMPRODUCT(([2]OUT_FinalEnergyCons!$B$4:$B$10000="var_ncap")*1,  (ISNUMBER(SEARCH("ITOT-SWHELCBR",[2]OUT_FinalEnergyCons!$A$4:$A$10000)))*1,[2]OUT_FinalEnergyCons!H$4:H$10000)</f>
        <v>0.78583254688369997</v>
      </c>
      <c r="K2274" s="1" cm="1">
        <f t="array" ref="K2274">SUMPRODUCT(([2]OUT_FinalEnergyCons!$B$4:$B$10000="var_ncap")*1,  (ISNUMBER(SEARCH("ITOT-SWHELCBR",[2]OUT_FinalEnergyCons!$A$4:$A$10000)))*1,[2]OUT_FinalEnergyCons!I$4:I$10000)</f>
        <v>7.8247435932689902E-2</v>
      </c>
      <c r="L2274" s="1" cm="1">
        <f t="array" ref="L2274">SUMPRODUCT(([2]OUT_FinalEnergyCons!$B$4:$B$10000="var_ncap")*1,  (ISNUMBER(SEARCH("ITOT-SWHELCBR",[2]OUT_FinalEnergyCons!$A$4:$A$10000)))*1,[2]OUT_FinalEnergyCons!J$4:J$10000)</f>
        <v>0.66305250715316499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1.9640885298630301E-2</v>
      </c>
      <c r="H2275" s="1" cm="1">
        <f t="array" ref="H2275">SUMPRODUCT(([1]OUT_FinalEnergyCons!$B$4:$B$10000="var_ncap")*1,  (ISNUMBER(SEARCH("ITOT-SWHELCHP",[1]OUT_FinalEnergyCons!$A$4:$A$10000)))*1,[1]OUT_FinalEnergyCons!F$4:F$10000)</f>
        <v>6.46038229487539E-2</v>
      </c>
      <c r="I2275" s="1" cm="1">
        <f t="array" ref="I2275">SUMPRODUCT(([1]OUT_FinalEnergyCons!$B$4:$B$10000="var_ncap")*1,  (ISNUMBER(SEARCH("ITOT-SWHELCHP",[1]OUT_FinalEnergyCons!$A$4:$A$10000)))*1,[1]OUT_FinalEnergyCons!G$4:G$10000)</f>
        <v>0.19045187201719899</v>
      </c>
      <c r="J2275" s="1" cm="1">
        <f t="array" ref="J2275">SUMPRODUCT(([2]OUT_FinalEnergyCons!$B$4:$B$10000="var_ncap")*1,  (ISNUMBER(SEARCH("ITOT-SWHELCHP",[2]OUT_FinalEnergyCons!$A$4:$A$10000)))*1,[2]OUT_FinalEnergyCons!H$4:H$10000)</f>
        <v>0.18683884308231699</v>
      </c>
      <c r="K2275" s="1" cm="1">
        <f t="array" ref="K2275">SUMPRODUCT(([2]OUT_FinalEnergyCons!$B$4:$B$10000="var_ncap")*1,  (ISNUMBER(SEARCH("ITOT-SWHELCHP",[2]OUT_FinalEnergyCons!$A$4:$A$10000)))*1,[2]OUT_FinalEnergyCons!I$4:I$10000)</f>
        <v>0.20316511540593901</v>
      </c>
      <c r="L2275" s="1" cm="1">
        <f t="array" ref="L2275">SUMPRODUCT(([2]OUT_FinalEnergyCons!$B$4:$B$10000="var_ncap")*1,  (ISNUMBER(SEARCH("ITOT-SWHELCHP",[2]OUT_FinalEnergyCons!$A$4:$A$10000)))*1,[2]OUT_FinalEnergyCons!J$4:J$10000)</f>
        <v>0.50558337557670296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1.33925594243944E-2</v>
      </c>
      <c r="G2276" s="18">
        <f t="shared" si="2157"/>
        <v>8.3656964338796116E-3</v>
      </c>
      <c r="H2276" s="18">
        <f t="shared" si="2157"/>
        <v>9.3606470188319305E-3</v>
      </c>
      <c r="I2276" s="18">
        <f t="shared" si="2157"/>
        <v>2.320259929122648E-3</v>
      </c>
      <c r="J2276" s="18">
        <f t="shared" si="2157"/>
        <v>0.16809141209895512</v>
      </c>
      <c r="K2276" s="18">
        <f t="shared" si="2157"/>
        <v>4.5961902699895949E-3</v>
      </c>
      <c r="L2276" s="18">
        <f t="shared" ref="L2276" si="2158">SUM(L2277:L2278)</f>
        <v>1.8930967225303509E-5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7.8921284084253508E-3</v>
      </c>
      <c r="H2277" s="1" cm="1">
        <f t="array" ref="H2277">SUMPRODUCT(([1]OUT_FinalEnergyCons!$B$4:$B$10000="var_ncap")*1,  (ISNUMBER(SEARCH("ITOT-SWHLFOBR",[1]OUT_FinalEnergyCons!$A$4:$A$10000)))*1,[1]OUT_FinalEnergyCons!F$4:F$10000)</f>
        <v>9.1047211546281797E-3</v>
      </c>
      <c r="I2277" s="1" cm="1">
        <f t="array" ref="I2277">SUMPRODUCT(([1]OUT_FinalEnergyCons!$B$4:$B$10000="var_ncap")*1,  (ISNUMBER(SEARCH("ITOT-SWHLFOBR",[1]OUT_FinalEnergyCons!$A$4:$A$10000)))*1,[1]OUT_FinalEnergyCons!G$4:G$10000)</f>
        <v>2.0393629661559199E-3</v>
      </c>
      <c r="J2277" s="1" cm="1">
        <f t="array" ref="J2277">SUMPRODUCT(([2]OUT_FinalEnergyCons!$B$4:$B$10000="var_ncap")*1,  (ISNUMBER(SEARCH("ITOT-SWHLFOBR",[2]OUT_FinalEnergyCons!$A$4:$A$10000)))*1,[2]OUT_FinalEnergyCons!H$4:H$10000)</f>
        <v>0.167663374172595</v>
      </c>
      <c r="K2277" s="1" cm="1">
        <f t="array" ref="K2277">SUMPRODUCT(([2]OUT_FinalEnergyCons!$B$4:$B$10000="var_ncap")*1,  (ISNUMBER(SEARCH("ITOT-SWHLFOBR",[2]OUT_FinalEnergyCons!$A$4:$A$10000)))*1,[2]OUT_FinalEnergyCons!I$4:I$10000)</f>
        <v>4.5639894561545404E-3</v>
      </c>
      <c r="L2277" s="1" cm="1">
        <f t="array" ref="L2277">SUMPRODUCT(([2]OUT_FinalEnergyCons!$B$4:$B$10000="var_ncap")*1,  (ISNUMBER(SEARCH("ITOT-SWHLFOBR",[2]OUT_FinalEnergyCons!$A$4:$A$10000)))*1,[2]OUT_FinalEnergyCons!J$4:J$10000)</f>
        <v>1.35471051756652E-5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1.33925594243944E-2</v>
      </c>
      <c r="G2278" s="1" cm="1">
        <f t="array" ref="G2278">SUMPRODUCT(([1]OUT_FinalEnergyCons!$B$4:$B$10000="var_ncap")*1,  (ISNUMBER(SEARCH("ITOT-SWHHFOBR",[1]OUT_FinalEnergyCons!$A$4:$A$10000)))*1,[1]OUT_FinalEnergyCons!E$4:E$10000)</f>
        <v>4.7356802545426001E-4</v>
      </c>
      <c r="H2278" s="1" cm="1">
        <f t="array" ref="H2278">SUMPRODUCT(([1]OUT_FinalEnergyCons!$B$4:$B$10000="var_ncap")*1,  (ISNUMBER(SEARCH("ITOT-SWHHFOBR",[1]OUT_FinalEnergyCons!$A$4:$A$10000)))*1,[1]OUT_FinalEnergyCons!F$4:F$10000)</f>
        <v>2.5592586420375001E-4</v>
      </c>
      <c r="I2278" s="1" cm="1">
        <f t="array" ref="I2278">SUMPRODUCT(([1]OUT_FinalEnergyCons!$B$4:$B$10000="var_ncap")*1,  (ISNUMBER(SEARCH("ITOT-SWHHFOBR",[1]OUT_FinalEnergyCons!$A$4:$A$10000)))*1,[1]OUT_FinalEnergyCons!G$4:G$10000)</f>
        <v>2.8089696296672799E-4</v>
      </c>
      <c r="J2278" s="1" cm="1">
        <f t="array" ref="J2278">SUMPRODUCT(([2]OUT_FinalEnergyCons!$B$4:$B$10000="var_ncap")*1,  (ISNUMBER(SEARCH("ITOT-SWHHFOBR",[2]OUT_FinalEnergyCons!$A$4:$A$10000)))*1,[2]OUT_FinalEnergyCons!H$4:H$10000)</f>
        <v>4.2803792636013002E-4</v>
      </c>
      <c r="K2278" s="1" cm="1">
        <f t="array" ref="K2278">SUMPRODUCT(([2]OUT_FinalEnergyCons!$B$4:$B$10000="var_ncap")*1,  (ISNUMBER(SEARCH("ITOT-SWHHFOBR",[2]OUT_FinalEnergyCons!$A$4:$A$10000)))*1,[2]OUT_FinalEnergyCons!I$4:I$10000)</f>
        <v>3.2200813835054703E-5</v>
      </c>
      <c r="L2278" s="1" cm="1">
        <f t="array" ref="L2278">SUMPRODUCT(([2]OUT_FinalEnergyCons!$B$4:$B$10000="var_ncap")*1,  (ISNUMBER(SEARCH("ITOT-SWHHFOBR",[2]OUT_FinalEnergyCons!$A$4:$A$10000)))*1,[2]OUT_FinalEnergyCons!J$4:J$10000)</f>
        <v>5.3838620496383097E-6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1.0201087212215619E-2</v>
      </c>
      <c r="H2279" s="18">
        <f t="shared" si="2159"/>
        <v>4.0995803823337942E-3</v>
      </c>
      <c r="I2279" s="18">
        <f t="shared" si="2159"/>
        <v>6.9742415511904053E-4</v>
      </c>
      <c r="J2279" s="18">
        <f t="shared" si="2159"/>
        <v>0.21851137181773317</v>
      </c>
      <c r="K2279" s="18">
        <f t="shared" si="2159"/>
        <v>6.2243544699267461E-2</v>
      </c>
      <c r="L2279" s="18">
        <f t="shared" ref="L2279" si="2160">SUM(L2280:L2281)</f>
        <v>7.6180068856305497E-5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3.9058649103080102E-3</v>
      </c>
      <c r="H2280" s="1" cm="1">
        <f t="array" ref="H2280">SUMPRODUCT(([1]OUT_FinalEnergyCons!$B$4:$B$10000="var_ncap")*1,  (ISNUMBER(SEARCH("ITOT-SWHNGA*BR",[1]OUT_FinalEnergyCons!$A$4:$A$10000)))*1,[1]OUT_FinalEnergyCons!F$4:F$10000)</f>
        <v>3.96512739436722E-3</v>
      </c>
      <c r="I2280" s="1" cm="1">
        <f t="array" ref="I2280">SUMPRODUCT(([1]OUT_FinalEnergyCons!$B$4:$B$10000="var_ncap")*1,  (ISNUMBER(SEARCH("ITOT-SWHNGA*BR",[1]OUT_FinalEnergyCons!$A$4:$A$10000)))*1,[1]OUT_FinalEnergyCons!G$4:G$10000)</f>
        <v>6.7825152563096198E-4</v>
      </c>
      <c r="J2280" s="1" cm="1">
        <f t="array" ref="J2280">SUMPRODUCT(([2]OUT_FinalEnergyCons!$B$4:$B$10000="var_ncap")*1,  (ISNUMBER(SEARCH("ITOT-SWHNGA*BR",[2]OUT_FinalEnergyCons!$A$4:$A$10000)))*1,[2]OUT_FinalEnergyCons!H$4:H$10000)</f>
        <v>0.218203343601166</v>
      </c>
      <c r="K2280" s="1" cm="1">
        <f t="array" ref="K2280">SUMPRODUCT(([2]OUT_FinalEnergyCons!$B$4:$B$10000="var_ncap")*1,  (ISNUMBER(SEARCH("ITOT-SWHNGA*BR",[2]OUT_FinalEnergyCons!$A$4:$A$10000)))*1,[2]OUT_FinalEnergyCons!I$4:I$10000)</f>
        <v>6.2241402520641503E-2</v>
      </c>
      <c r="L2280" s="1" cm="1">
        <f t="array" ref="L2280">SUMPRODUCT(([2]OUT_FinalEnergyCons!$B$4:$B$10000="var_ncap")*1,  (ISNUMBER(SEARCH("ITOT-SWHNGA*BR",[2]OUT_FinalEnergyCons!$A$4:$A$10000)))*1,[2]OUT_FinalEnergyCons!J$4:J$10000)</f>
        <v>2.8710754021101001E-5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6.2952223019076096E-3</v>
      </c>
      <c r="H2281" s="1" cm="1">
        <f t="array" ref="H2281">SUMPRODUCT(([1]OUT_FinalEnergyCons!$B$4:$B$10000="var_ncap")*1,  (ISNUMBER(SEARCH("ITOT-SWHNGAHP",[1]OUT_FinalEnergyCons!$A$4:$A$10000)))*1,[1]OUT_FinalEnergyCons!F$4:F$10000)</f>
        <v>1.34452987966574E-4</v>
      </c>
      <c r="I2281" s="1" cm="1">
        <f t="array" ref="I2281">SUMPRODUCT(([1]OUT_FinalEnergyCons!$B$4:$B$10000="var_ncap")*1,  (ISNUMBER(SEARCH("ITOT-SWHNGAHP",[1]OUT_FinalEnergyCons!$A$4:$A$10000)))*1,[1]OUT_FinalEnergyCons!G$4:G$10000)</f>
        <v>1.91726294880785E-5</v>
      </c>
      <c r="J2281" s="1" cm="1">
        <f t="array" ref="J2281">SUMPRODUCT(([2]OUT_FinalEnergyCons!$B$4:$B$10000="var_ncap")*1,  (ISNUMBER(SEARCH("ITOT-SWHNGAHP",[2]OUT_FinalEnergyCons!$A$4:$A$10000)))*1,[2]OUT_FinalEnergyCons!H$4:H$10000)</f>
        <v>3.0802821656716298E-4</v>
      </c>
      <c r="K2281" s="1" cm="1">
        <f t="array" ref="K2281">SUMPRODUCT(([2]OUT_FinalEnergyCons!$B$4:$B$10000="var_ncap")*1,  (ISNUMBER(SEARCH("ITOT-SWHNGAHP",[2]OUT_FinalEnergyCons!$A$4:$A$10000)))*1,[2]OUT_FinalEnergyCons!I$4:I$10000)</f>
        <v>2.1421786259565402E-6</v>
      </c>
      <c r="L2281" s="1" cm="1">
        <f t="array" ref="L2281">SUMPRODUCT(([2]OUT_FinalEnergyCons!$B$4:$B$10000="var_ncap")*1,  (ISNUMBER(SEARCH("ITOT-SWHNGAHP",[2]OUT_FinalEnergyCons!$A$4:$A$10000)))*1,[2]OUT_FinalEnergyCons!J$4:J$10000)</f>
        <v>4.7469314835204499E-5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1.6098035857658E-2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7.1009789241017807E-2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3.3983535961932702E-2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8.5662477356032996E-2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0.133317702066238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0.16815479977967401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1.34953670203996E-4</v>
      </c>
      <c r="H2283" s="1">
        <f t="shared" si="2161"/>
        <v>1.54695638079946E-4</v>
      </c>
      <c r="I2283" s="1">
        <f t="shared" si="2161"/>
        <v>1.7682412791727E-4</v>
      </c>
      <c r="J2283" s="1">
        <f t="shared" si="2161"/>
        <v>2.6297930780494401E-4</v>
      </c>
      <c r="K2283" s="1">
        <f t="shared" si="2161"/>
        <v>7.4761280136089E-6</v>
      </c>
      <c r="L2283" s="1">
        <f t="shared" si="2161"/>
        <v>1.6498351776759099E-6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1.34953670203996E-4</v>
      </c>
      <c r="H2284" s="1" cm="1">
        <f t="array" ref="H2284">SUMPRODUCT(([1]OUT_FinalEnergyCons!$B$4:$B$10000="var_ncap")*1,  (ISNUMBER(SEARCH("ITOT-SWHCOA*BR",[1]OUT_FinalEnergyCons!$A$4:$A$10000)))*1,[1]OUT_FinalEnergyCons!F$4:F$10000)</f>
        <v>1.54695638079946E-4</v>
      </c>
      <c r="I2284" s="1" cm="1">
        <f t="array" ref="I2284">SUMPRODUCT(([1]OUT_FinalEnergyCons!$B$4:$B$10000="var_ncap")*1,  (ISNUMBER(SEARCH("ITOT-SWHCOA*BR",[1]OUT_FinalEnergyCons!$A$4:$A$10000)))*1,[1]OUT_FinalEnergyCons!G$4:G$10000)</f>
        <v>1.7682412791727E-4</v>
      </c>
      <c r="J2284" s="1" cm="1">
        <f t="array" ref="J2284">SUMPRODUCT(([2]OUT_FinalEnergyCons!$B$4:$B$10000="var_ncap")*1,  (ISNUMBER(SEARCH("ITOT-SWHCOA*BR",[2]OUT_FinalEnergyCons!$A$4:$A$10000)))*1,[2]OUT_FinalEnergyCons!H$4:H$10000)</f>
        <v>2.6297930780494401E-4</v>
      </c>
      <c r="K2284" s="1" cm="1">
        <f t="array" ref="K2284">SUMPRODUCT(([2]OUT_FinalEnergyCons!$B$4:$B$10000="var_ncap")*1,  (ISNUMBER(SEARCH("ITOT-SWHCOA*BR",[2]OUT_FinalEnergyCons!$A$4:$A$10000)))*1,[2]OUT_FinalEnergyCons!I$4:I$10000)</f>
        <v>7.4761280136089E-6</v>
      </c>
      <c r="L2284" s="1" cm="1">
        <f t="array" ref="L2284">SUMPRODUCT(([2]OUT_FinalEnergyCons!$B$4:$B$10000="var_ncap")*1,  (ISNUMBER(SEARCH("ITOT-SWHCOA*BR",[2]OUT_FinalEnergyCons!$A$4:$A$10000)))*1,[2]OUT_FinalEnergyCons!J$4:J$10000)</f>
        <v>1.6498351776759099E-6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6.3610202414609796E-2</v>
      </c>
      <c r="H2285" s="1">
        <f t="shared" si="2162"/>
        <v>8.6345801411765594E-3</v>
      </c>
      <c r="I2285" s="1">
        <f t="shared" si="2162"/>
        <v>3.6145781269546699E-2</v>
      </c>
      <c r="J2285" s="1">
        <f t="shared" si="2162"/>
        <v>0.28938903101817098</v>
      </c>
      <c r="K2285" s="1">
        <f t="shared" si="2162"/>
        <v>4.7044585967583298E-2</v>
      </c>
      <c r="L2285" s="1">
        <f t="shared" si="2162"/>
        <v>0.23899516763710399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6.3610202414609796E-2</v>
      </c>
      <c r="H2286" s="1" cm="1">
        <f t="array" ref="H2286">SUMPRODUCT(([1]OUT_FinalEnergyCons!$B$4:$B$10000="var_ncap")*1,  (ISNUMBER(SEARCH("ITOT-SWHWOD*BR",[1]OUT_FinalEnergyCons!$A$4:$A$10000)))*1,[1]OUT_FinalEnergyCons!F$4:F$10000)</f>
        <v>8.6345801411765594E-3</v>
      </c>
      <c r="I2286" s="1" cm="1">
        <f t="array" ref="I2286">SUMPRODUCT(([1]OUT_FinalEnergyCons!$B$4:$B$10000="var_ncap")*1,  (ISNUMBER(SEARCH("ITOT-SWHWOD*BR",[1]OUT_FinalEnergyCons!$A$4:$A$10000)))*1,[1]OUT_FinalEnergyCons!G$4:G$10000)</f>
        <v>3.6145781269546699E-2</v>
      </c>
      <c r="J2286" s="1" cm="1">
        <f t="array" ref="J2286">SUMPRODUCT(([2]OUT_FinalEnergyCons!$B$4:$B$10000="var_ncap")*1,  (ISNUMBER(SEARCH("ITOT-SWHWOD*BR",[2]OUT_FinalEnergyCons!$A$4:$A$10000)))*1,[2]OUT_FinalEnergyCons!H$4:H$10000)</f>
        <v>0.28938903101817098</v>
      </c>
      <c r="K2286" s="1" cm="1">
        <f t="array" ref="K2286">SUMPRODUCT(([2]OUT_FinalEnergyCons!$B$4:$B$10000="var_ncap")*1,  (ISNUMBER(SEARCH("ITOT-SWHWOD*BR",[2]OUT_FinalEnergyCons!$A$4:$A$10000)))*1,[2]OUT_FinalEnergyCons!I$4:I$10000)</f>
        <v>4.7044585967583298E-2</v>
      </c>
      <c r="L2286" s="1" cm="1">
        <f t="array" ref="L2286">SUMPRODUCT(([2]OUT_FinalEnergyCons!$B$4:$B$10000="var_ncap")*1,  (ISNUMBER(SEARCH("ITOT-SWHWOD*BR",[2]OUT_FinalEnergyCons!$A$4:$A$10000)))*1,[2]OUT_FinalEnergyCons!J$4:J$10000)</f>
        <v>0.23899516763710399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1.05363524761904E-2</v>
      </c>
      <c r="H2287" s="1">
        <f t="shared" si="2163"/>
        <v>2.50728135014529E-3</v>
      </c>
      <c r="I2287" s="1">
        <f t="shared" si="2163"/>
        <v>1.87249107764758E-3</v>
      </c>
      <c r="J2287" s="1">
        <f t="shared" si="2163"/>
        <v>2.98783188881891E-2</v>
      </c>
      <c r="K2287" s="1">
        <f t="shared" si="2163"/>
        <v>1.3682081647738801E-2</v>
      </c>
      <c r="L2287" s="1">
        <f t="shared" si="2163"/>
        <v>2.02598067132179E-2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1.05363524761904E-2</v>
      </c>
      <c r="H2288" s="1" cm="1">
        <f t="array" ref="H2288">SUMPRODUCT(([1]OUT_FinalEnergyCons!$B$4:$B$10000="var_ncap")*1,  (ISNUMBER(SEARCH("ITOT-SWHPLT*BR",[1]OUT_FinalEnergyCons!$A$4:$A$10000)))*1,[1]OUT_FinalEnergyCons!F$4:F$10000)</f>
        <v>2.50728135014529E-3</v>
      </c>
      <c r="I2288" s="1" cm="1">
        <f t="array" ref="I2288">SUMPRODUCT(([1]OUT_FinalEnergyCons!$B$4:$B$10000="var_ncap")*1,  (ISNUMBER(SEARCH("ITOT-SWHPLT*BR",[1]OUT_FinalEnergyCons!$A$4:$A$10000)))*1,[1]OUT_FinalEnergyCons!G$4:G$10000)</f>
        <v>1.87249107764758E-3</v>
      </c>
      <c r="J2288" s="1" cm="1">
        <f t="array" ref="J2288">SUMPRODUCT(([2]OUT_FinalEnergyCons!$B$4:$B$10000="var_ncap")*1,  (ISNUMBER(SEARCH("ITOT-SWHPLT*BR",[2]OUT_FinalEnergyCons!$A$4:$A$10000)))*1,[2]OUT_FinalEnergyCons!H$4:H$10000)</f>
        <v>2.98783188881891E-2</v>
      </c>
      <c r="K2288" s="1" cm="1">
        <f t="array" ref="K2288">SUMPRODUCT(([2]OUT_FinalEnergyCons!$B$4:$B$10000="var_ncap")*1,  (ISNUMBER(SEARCH("ITOT-SWHPLT*BR",[2]OUT_FinalEnergyCons!$A$4:$A$10000)))*1,[2]OUT_FinalEnergyCons!I$4:I$10000)</f>
        <v>1.3682081647738801E-2</v>
      </c>
      <c r="L2288" s="1" cm="1">
        <f t="array" ref="L2288">SUMPRODUCT(([2]OUT_FinalEnergyCons!$B$4:$B$10000="var_ncap")*1,  (ISNUMBER(SEARCH("ITOT-SWHPLT*BR",[2]OUT_FinalEnergyCons!$A$4:$A$10000)))*1,[2]OUT_FinalEnergyCons!J$4:J$10000)</f>
        <v>2.02598067132179E-2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2.9534702156191198E-4</v>
      </c>
      <c r="H2289" s="1">
        <f t="shared" si="2164"/>
        <v>3.3034897794502402E-3</v>
      </c>
      <c r="I2289" s="1">
        <f t="shared" si="2164"/>
        <v>1.1035311799147401E-3</v>
      </c>
      <c r="J2289" s="1">
        <f t="shared" si="2164"/>
        <v>0.23956615496184999</v>
      </c>
      <c r="K2289" s="1">
        <f t="shared" si="2164"/>
        <v>8.2407784699575798E-2</v>
      </c>
      <c r="L2289" s="1">
        <f t="shared" si="2164"/>
        <v>4.8162949625178697E-2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2.9534702156191198E-4</v>
      </c>
      <c r="H2290" s="1" cm="1">
        <f t="array" ref="H2290">SUMPRODUCT(([1]OUT_FinalEnergyCons!$B$4:$B$10000="var_ncap")*1,  (ISNUMBER(SEARCH("ITOT-SWHWST*BR",[1]OUT_FinalEnergyCons!$A$4:$A$10000)))*1,[1]OUT_FinalEnergyCons!F$4:F$10000)</f>
        <v>3.3034897794502402E-3</v>
      </c>
      <c r="I2290" s="1" cm="1">
        <f t="array" ref="I2290">SUMPRODUCT(([1]OUT_FinalEnergyCons!$B$4:$B$10000="var_ncap")*1,  (ISNUMBER(SEARCH("ITOT-SWHWST*BR",[1]OUT_FinalEnergyCons!$A$4:$A$10000)))*1,[1]OUT_FinalEnergyCons!G$4:G$10000)</f>
        <v>1.1035311799147401E-3</v>
      </c>
      <c r="J2290" s="1" cm="1">
        <f t="array" ref="J2290">SUMPRODUCT(([2]OUT_FinalEnergyCons!$B$4:$B$10000="var_ncap")*1,  (ISNUMBER(SEARCH("ITOT-SWHWST*BR",[2]OUT_FinalEnergyCons!$A$4:$A$10000)))*1,[2]OUT_FinalEnergyCons!H$4:H$10000)</f>
        <v>0.23956615496184999</v>
      </c>
      <c r="K2290" s="1" cm="1">
        <f t="array" ref="K2290">SUMPRODUCT(([2]OUT_FinalEnergyCons!$B$4:$B$10000="var_ncap")*1,  (ISNUMBER(SEARCH("ITOT-SWHWST*BR",[2]OUT_FinalEnergyCons!$A$4:$A$10000)))*1,[2]OUT_FinalEnergyCons!I$4:I$10000)</f>
        <v>8.2407784699575798E-2</v>
      </c>
      <c r="L2290" s="1" cm="1">
        <f t="array" ref="L2290">SUMPRODUCT(([2]OUT_FinalEnergyCons!$B$4:$B$10000="var_ncap")*1,  (ISNUMBER(SEARCH("ITOT-SWHWST*BR",[2]OUT_FinalEnergyCons!$A$4:$A$10000)))*1,[2]OUT_FinalEnergyCons!J$4:J$10000)</f>
        <v>4.8162949625178697E-2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0.34313327500594498</v>
      </c>
      <c r="H2291" s="1">
        <f t="shared" si="2165"/>
        <v>8.8488025322031299E-7</v>
      </c>
      <c r="I2291" s="1">
        <f t="shared" si="2165"/>
        <v>1.0531388969334801E-6</v>
      </c>
      <c r="J2291" s="1">
        <f t="shared" si="2165"/>
        <v>0.106362781790795</v>
      </c>
      <c r="K2291" s="1">
        <f t="shared" si="2165"/>
        <v>0.106652414557172</v>
      </c>
      <c r="L2291" s="1">
        <f t="shared" si="2165"/>
        <v>9.0620584439878998E-2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0.34313327500594498</v>
      </c>
      <c r="H2292" s="1" cm="1">
        <f t="array" ref="H2292">SUMPRODUCT(([1]OUT_FinalEnergyCons!$B$4:$B$10000="var_ncap")*1, (ISNUMBER(SEARCH("ITOT-SWHSOLBR",[1]OUT_FinalEnergyCons!$A$4:$A$10000)))*1,[1]OUT_FinalEnergyCons!F$4:F$10000)</f>
        <v>8.8488025322031299E-7</v>
      </c>
      <c r="I2292" s="1" cm="1">
        <f t="array" ref="I2292">SUMPRODUCT(([1]OUT_FinalEnergyCons!$B$4:$B$10000="var_ncap")*1, (ISNUMBER(SEARCH("ITOT-SWHSOLBR",[1]OUT_FinalEnergyCons!$A$4:$A$10000)))*1,[1]OUT_FinalEnergyCons!G$4:G$10000)</f>
        <v>1.0531388969334801E-6</v>
      </c>
      <c r="J2292" s="1" cm="1">
        <f t="array" ref="J2292">SUMPRODUCT(([2]OUT_FinalEnergyCons!$B$4:$B$10000="var_ncap")*1, (ISNUMBER(SEARCH("ITOT-SWHSOLBR",[2]OUT_FinalEnergyCons!$A$4:$A$10000)))*1,[2]OUT_FinalEnergyCons!H$4:H$10000)</f>
        <v>0.106362781790795</v>
      </c>
      <c r="K2292" s="1" cm="1">
        <f t="array" ref="K2292">SUMPRODUCT(([2]OUT_FinalEnergyCons!$B$4:$B$10000="var_ncap")*1, (ISNUMBER(SEARCH("ITOT-SWHSOLBR",[2]OUT_FinalEnergyCons!$A$4:$A$10000)))*1,[2]OUT_FinalEnergyCons!I$4:I$10000)</f>
        <v>0.106652414557172</v>
      </c>
      <c r="L2292" s="1" cm="1">
        <f t="array" ref="L2292">SUMPRODUCT(([2]OUT_FinalEnergyCons!$B$4:$B$10000="var_ncap")*1, (ISNUMBER(SEARCH("ITOT-SWHSOLBR",[2]OUT_FinalEnergyCons!$A$4:$A$10000)))*1,[2]OUT_FinalEnergyCons!J$4:J$10000)</f>
        <v>9.0620584439878998E-2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0</v>
      </c>
      <c r="J2293" s="1">
        <f t="shared" si="2166"/>
        <v>0.59917465323255303</v>
      </c>
      <c r="K2293" s="1">
        <f t="shared" si="2166"/>
        <v>5.9613975722177998E-2</v>
      </c>
      <c r="L2293" s="1">
        <f t="shared" si="2166"/>
        <v>0.32842213987056101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0.59917465323255303</v>
      </c>
      <c r="K2294" s="1" cm="1">
        <f t="array" ref="K2294">SUMPRODUCT(([2]OUT_FinalEnergyCons!$B$4:$B$10000="var_ncap")*1, (ISNUMBER(SEARCH("ITOT-SWHH2BR",[2]OUT_FinalEnergyCons!$A$4:$A$10000)))*1,[2]OUT_FinalEnergyCons!I$4:I$10000)</f>
        <v>5.9613975722177998E-2</v>
      </c>
      <c r="L2294" s="1" cm="1">
        <f t="array" ref="L2294">SUMPRODUCT(([2]OUT_FinalEnergyCons!$B$4:$B$10000="var_ncap")*1, (ISNUMBER(SEARCH("ITOT-SWHH2BR",[2]OUT_FinalEnergyCons!$A$4:$A$10000)))*1,[2]OUT_FinalEnergyCons!J$4:J$10000)</f>
        <v>0.32842213987056101</v>
      </c>
      <c r="N2294" s="1"/>
    </row>
    <row r="2295" spans="2:14" x14ac:dyDescent="0.35">
      <c r="B2295" s="9" t="str">
        <f>SPS2_SOC_High!B1813</f>
        <v>SPS1</v>
      </c>
      <c r="C2295" s="9" t="str">
        <f>SPS2_SOC_High!C1813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4.8980211999556471E-4</v>
      </c>
      <c r="G2295" s="17">
        <f t="shared" si="2167"/>
        <v>3.7260120304049134E-2</v>
      </c>
      <c r="H2295" s="17">
        <f t="shared" si="2167"/>
        <v>0.23205991024202649</v>
      </c>
      <c r="I2295" s="17">
        <f t="shared" si="2167"/>
        <v>0.52992845017190382</v>
      </c>
      <c r="J2295" s="17">
        <f t="shared" si="2167"/>
        <v>2.4053279398106149</v>
      </c>
      <c r="K2295" s="17">
        <f t="shared" si="2167"/>
        <v>1.8667487529727578</v>
      </c>
      <c r="L2295" s="17">
        <f t="shared" ref="L2295" si="2168">SUM(L2296,L2299,L2301,L2305,L2307,L2309,L2311)</f>
        <v>1.9663449853850581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1.0347839723323307E-4</v>
      </c>
      <c r="G2296" s="1">
        <f t="shared" si="2171"/>
        <v>4.0149637190773802E-5</v>
      </c>
      <c r="H2296" s="1">
        <f t="shared" si="2171"/>
        <v>7.4870150508725796E-5</v>
      </c>
      <c r="I2296" s="1">
        <f t="shared" si="2171"/>
        <v>0.20199201278873816</v>
      </c>
      <c r="J2296" s="1">
        <f t="shared" si="2171"/>
        <v>0.61917303617751962</v>
      </c>
      <c r="K2296" s="1">
        <f t="shared" si="2171"/>
        <v>0.49776626880240943</v>
      </c>
      <c r="L2296" s="1">
        <f t="shared" ref="L2296" si="2172">SUM(L2297:L2298)</f>
        <v>0.8783569704154971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9.6829738756829003E-5</v>
      </c>
      <c r="G2297" s="1" cm="1">
        <f t="array" ref="G2297">SUMPRODUCT(([1]OUT_FinalEnergyCons!$B$4:$B$10000="var_ncap")*1, (ISNUMBER(SEARCH("SCOM-SHELCBR",[1]OUT_FinalEnergyCons!$A$4:$A$10000)))*1,[1]OUT_FinalEnergyCons!E$4:E$10000)</f>
        <v>2.5009649616002901E-5</v>
      </c>
      <c r="H2297" s="1" cm="1">
        <f t="array" ref="H2297">SUMPRODUCT(([1]OUT_FinalEnergyCons!$B$4:$B$10000="var_ncap")*1, (ISNUMBER(SEARCH("SCOM-SHELCBR",[1]OUT_FinalEnergyCons!$A$4:$A$10000)))*1,[1]OUT_FinalEnergyCons!F$4:F$10000)</f>
        <v>2.6864813303570699E-5</v>
      </c>
      <c r="I2297" s="1" cm="1">
        <f t="array" ref="I2297">SUMPRODUCT(([1]OUT_FinalEnergyCons!$B$4:$B$10000="var_ncap")*1, (ISNUMBER(SEARCH("SCOM-SHELCBR",[1]OUT_FinalEnergyCons!$A$4:$A$10000)))*1,[1]OUT_FinalEnergyCons!G$4:G$10000)</f>
        <v>3.9002855856142701E-5</v>
      </c>
      <c r="J2297" s="1" cm="1">
        <f t="array" ref="J2297">SUMPRODUCT(([2]OUT_FinalEnergyCons!$B$4:$B$10000="var_ncap")*1, (ISNUMBER(SEARCH("SCOM-SHELCBR",[2]OUT_FinalEnergyCons!$A$4:$A$10000)))*1,[2]OUT_FinalEnergyCons!H$4:H$10000)</f>
        <v>2.43125280092156E-2</v>
      </c>
      <c r="K2297" s="1" cm="1">
        <f t="array" ref="K2297">SUMPRODUCT(([2]OUT_FinalEnergyCons!$B$4:$B$10000="var_ncap")*1, (ISNUMBER(SEARCH("SCOM-SHELCBR",[2]OUT_FinalEnergyCons!$A$4:$A$10000)))*1,[2]OUT_FinalEnergyCons!I$4:I$10000)</f>
        <v>5.4179211593839401E-4</v>
      </c>
      <c r="L2297" s="1" cm="1">
        <f t="array" ref="L2297">SUMPRODUCT(([2]OUT_FinalEnergyCons!$B$4:$B$10000="var_ncap")*1, (ISNUMBER(SEARCH("SCOM-SHELCBR",[2]OUT_FinalEnergyCons!$A$4:$A$10000)))*1,[2]OUT_FinalEnergyCons!J$4:J$10000)</f>
        <v>7.4516434787840801E-3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6.6486584764040704E-6</v>
      </c>
      <c r="G2298" s="1" cm="1">
        <f t="array" ref="G2298">SUMPRODUCT(([1]OUT_FinalEnergyCons!$B$4:$B$10000="var_ncap")*1, (ISNUMBER(SEARCH("SCOM-SHELCHP",[1]OUT_FinalEnergyCons!$A$4:$A$10000)))*1,[1]OUT_FinalEnergyCons!E$4:E$10000)</f>
        <v>1.51399875747709E-5</v>
      </c>
      <c r="H2298" s="1" cm="1">
        <f t="array" ref="H2298">SUMPRODUCT(([1]OUT_FinalEnergyCons!$B$4:$B$10000="var_ncap")*1, (ISNUMBER(SEARCH("SCOM-SHELCHP",[1]OUT_FinalEnergyCons!$A$4:$A$10000)))*1,[1]OUT_FinalEnergyCons!F$4:F$10000)</f>
        <v>4.8005337205155101E-5</v>
      </c>
      <c r="I2298" s="1" cm="1">
        <f t="array" ref="I2298">SUMPRODUCT(([1]OUT_FinalEnergyCons!$B$4:$B$10000="var_ncap")*1, (ISNUMBER(SEARCH("SCOM-SHELCHP",[1]OUT_FinalEnergyCons!$A$4:$A$10000)))*1,[1]OUT_FinalEnergyCons!G$4:G$10000)</f>
        <v>0.20195300993288201</v>
      </c>
      <c r="J2298" s="1" cm="1">
        <f t="array" ref="J2298">SUMPRODUCT(([2]OUT_FinalEnergyCons!$B$4:$B$10000="var_ncap")*1, (ISNUMBER(SEARCH("SCOM-SHELCHP",[2]OUT_FinalEnergyCons!$A$4:$A$10000)))*1,[2]OUT_FinalEnergyCons!H$4:H$10000)</f>
        <v>0.59486050816830405</v>
      </c>
      <c r="K2298" s="1" cm="1">
        <f t="array" ref="K2298">SUMPRODUCT(([2]OUT_FinalEnergyCons!$B$4:$B$10000="var_ncap")*1, (ISNUMBER(SEARCH("SCOM-SHELCHP",[2]OUT_FinalEnergyCons!$A$4:$A$10000)))*1,[2]OUT_FinalEnergyCons!I$4:I$10000)</f>
        <v>0.49722447668647102</v>
      </c>
      <c r="L2298" s="1" cm="1">
        <f t="array" ref="L2298">SUMPRODUCT(([2]OUT_FinalEnergyCons!$B$4:$B$10000="var_ncap")*1, (ISNUMBER(SEARCH("SCOM-SHELCHP",[2]OUT_FinalEnergyCons!$A$4:$A$10000)))*1,[2]OUT_FinalEnergyCons!J$4:J$10000)</f>
        <v>0.87090532693671296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4.4530037536301503E-5</v>
      </c>
      <c r="G2299" s="1">
        <f t="shared" si="2173"/>
        <v>2.17210904719528E-5</v>
      </c>
      <c r="H2299" s="1">
        <f t="shared" si="2173"/>
        <v>1.42338276648176E-5</v>
      </c>
      <c r="I2299" s="1">
        <f t="shared" si="2173"/>
        <v>1.9722071206102001E-5</v>
      </c>
      <c r="J2299" s="1">
        <f t="shared" si="2173"/>
        <v>0.431579675907174</v>
      </c>
      <c r="K2299" s="1">
        <f t="shared" si="2173"/>
        <v>9.3386536908225202E-6</v>
      </c>
      <c r="L2299" s="1">
        <f t="shared" si="2173"/>
        <v>5.7232809749159703E-7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4.4530037536301503E-5</v>
      </c>
      <c r="G2300" s="1" cm="1">
        <f t="array" ref="G2300">SUMPRODUCT(([1]OUT_FinalEnergyCons!$B$4:$B$10000="var_ncap")*1,(ISNUMBER(SEARCH("SCOM-SHLFOBR",[1]OUT_FinalEnergyCons!$A$4:$A$10000)))*1,[1]OUT_FinalEnergyCons!E$4:E$10000)</f>
        <v>2.17210904719528E-5</v>
      </c>
      <c r="H2300" s="1" cm="1">
        <f t="array" ref="H2300">SUMPRODUCT(([1]OUT_FinalEnergyCons!$B$4:$B$10000="var_ncap")*1,(ISNUMBER(SEARCH("SCOM-SHLFOBR",[1]OUT_FinalEnergyCons!$A$4:$A$10000)))*1,[1]OUT_FinalEnergyCons!F$4:F$10000)</f>
        <v>1.42338276648176E-5</v>
      </c>
      <c r="I2300" s="1" cm="1">
        <f t="array" ref="I2300">SUMPRODUCT(([1]OUT_FinalEnergyCons!$B$4:$B$10000="var_ncap")*1,(ISNUMBER(SEARCH("SCOM-SHLFOBR",[1]OUT_FinalEnergyCons!$A$4:$A$10000)))*1,[1]OUT_FinalEnergyCons!G$4:G$10000)</f>
        <v>1.9722071206102001E-5</v>
      </c>
      <c r="J2300" s="1" cm="1">
        <f t="array" ref="J2300">SUMPRODUCT(([2]OUT_FinalEnergyCons!$B$4:$B$10000="var_ncap")*1,(ISNUMBER(SEARCH("SCOM-SHLFOBR",[2]OUT_FinalEnergyCons!$A$4:$A$10000)))*1,[2]OUT_FinalEnergyCons!H$4:H$10000)</f>
        <v>0.431579675907174</v>
      </c>
      <c r="K2300" s="1" cm="1">
        <f t="array" ref="K2300">SUMPRODUCT(([2]OUT_FinalEnergyCons!$B$4:$B$10000="var_ncap")*1,(ISNUMBER(SEARCH("SCOM-SHLFOBR",[2]OUT_FinalEnergyCons!$A$4:$A$10000)))*1,[2]OUT_FinalEnergyCons!I$4:I$10000)</f>
        <v>9.3386536908225202E-6</v>
      </c>
      <c r="L2300" s="1" cm="1">
        <f t="array" ref="L2300">SUMPRODUCT(([2]OUT_FinalEnergyCons!$B$4:$B$10000="var_ncap")*1,(ISNUMBER(SEARCH("SCOM-SHLFOBR",[2]OUT_FinalEnergyCons!$A$4:$A$10000)))*1,[2]OUT_FinalEnergyCons!J$4:J$10000)</f>
        <v>5.7232809749159703E-7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2.6978472306389553E-5</v>
      </c>
      <c r="G2301" s="1">
        <f t="shared" si="2175"/>
        <v>1.4017178527661815E-3</v>
      </c>
      <c r="H2301" s="1">
        <f t="shared" si="2175"/>
        <v>0.18412199009369512</v>
      </c>
      <c r="I2301" s="1">
        <f t="shared" si="2175"/>
        <v>0.32765249202328534</v>
      </c>
      <c r="J2301" s="1">
        <f t="shared" si="2175"/>
        <v>0.65272196634063717</v>
      </c>
      <c r="K2301" s="1">
        <f t="shared" si="2175"/>
        <v>0.49093529277138365</v>
      </c>
      <c r="L2301" s="1">
        <f t="shared" ref="L2301" si="2176">SUM(L2302:L2304)</f>
        <v>0.51917602754994596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2.9012457790720198E-6</v>
      </c>
      <c r="G2302" s="1" cm="1">
        <f t="array" ref="G2302">SUMPRODUCT(([1]OUT_FinalEnergyCons!$B$4:$B$10000="var_ncap")*1, (ISNUMBER(SEARCH("SCOM-SHNGABR",[1]OUT_FinalEnergyCons!$A$4:$A$10000)))*1,[1]OUT_FinalEnergyCons!E$4:E$10000)</f>
        <v>1.64373638095966E-5</v>
      </c>
      <c r="H2302" s="1" cm="1">
        <f t="array" ref="H2302">SUMPRODUCT(([1]OUT_FinalEnergyCons!$B$4:$B$10000="var_ncap")*1, (ISNUMBER(SEARCH("SCOM-SHNGABR",[1]OUT_FinalEnergyCons!$A$4:$A$10000)))*1,[1]OUT_FinalEnergyCons!F$4:F$10000)</f>
        <v>1.5256804537481399E-5</v>
      </c>
      <c r="I2302" s="1" cm="1">
        <f t="array" ref="I2302">SUMPRODUCT(([1]OUT_FinalEnergyCons!$B$4:$B$10000="var_ncap")*1, (ISNUMBER(SEARCH("SCOM-SHNGABR",[1]OUT_FinalEnergyCons!$A$4:$A$10000)))*1,[1]OUT_FinalEnergyCons!G$4:G$10000)</f>
        <v>2.4841632924722501E-5</v>
      </c>
      <c r="J2302" s="1" cm="1">
        <f t="array" ref="J2302">SUMPRODUCT(([2]OUT_FinalEnergyCons!$B$4:$B$10000="var_ncap")*1, (ISNUMBER(SEARCH("SCOM-SHNGABR",[2]OUT_FinalEnergyCons!$A$4:$A$10000)))*1,[2]OUT_FinalEnergyCons!H$4:H$10000)</f>
        <v>0.48968919931621102</v>
      </c>
      <c r="K2302" s="1" cm="1">
        <f t="array" ref="K2302">SUMPRODUCT(([2]OUT_FinalEnergyCons!$B$4:$B$10000="var_ncap")*1, (ISNUMBER(SEARCH("SCOM-SHNGABR",[2]OUT_FinalEnergyCons!$A$4:$A$10000)))*1,[2]OUT_FinalEnergyCons!I$4:I$10000)</f>
        <v>5.3492658524489901E-2</v>
      </c>
      <c r="L2302" s="1" cm="1">
        <f t="array" ref="L2302">SUMPRODUCT(([2]OUT_FinalEnergyCons!$B$4:$B$10000="var_ncap")*1, (ISNUMBER(SEARCH("SCOM-SHNGABR",[2]OUT_FinalEnergyCons!$A$4:$A$10000)))*1,[2]OUT_FinalEnergyCons!J$4:J$10000)</f>
        <v>1.4346812466433599E-5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7.2945082589676304E-6</v>
      </c>
      <c r="G2303" s="1" cm="1">
        <f t="array" ref="G2303">SUMPRODUCT(([1]OUT_FinalEnergyCons!$B$4:$B$10000="var_ncap")*1, (ISNUMBER(SEARCH("SCOM-SHngahp",[1]OUT_FinalEnergyCons!$A$4:$A$10000)))*1,[1]OUT_FinalEnergyCons!E$4:E$10000)</f>
        <v>1.1004426603172699E-3</v>
      </c>
      <c r="H2303" s="1" cm="1">
        <f t="array" ref="H2303">SUMPRODUCT(([1]OUT_FinalEnergyCons!$B$4:$B$10000="var_ncap")*1, (ISNUMBER(SEARCH("SCOM-SHngahp",[1]OUT_FinalEnergyCons!$A$4:$A$10000)))*1,[1]OUT_FinalEnergyCons!F$4:F$10000)</f>
        <v>0.184093500600783</v>
      </c>
      <c r="I2303" s="1" cm="1">
        <f t="array" ref="I2303">SUMPRODUCT(([1]OUT_FinalEnergyCons!$B$4:$B$10000="var_ncap")*1, (ISNUMBER(SEARCH("SCOM-SHngahp",[1]OUT_FinalEnergyCons!$A$4:$A$10000)))*1,[1]OUT_FinalEnergyCons!G$4:G$10000)</f>
        <v>0.327606639103666</v>
      </c>
      <c r="J2303" s="1" cm="1">
        <f t="array" ref="J2303">SUMPRODUCT(([2]OUT_FinalEnergyCons!$B$4:$B$10000="var_ncap")*1, (ISNUMBER(SEARCH("SCOM-SHngahp",[2]OUT_FinalEnergyCons!$A$4:$A$10000)))*1,[2]OUT_FinalEnergyCons!H$4:H$10000)</f>
        <v>0.16297313038473801</v>
      </c>
      <c r="K2303" s="1" cm="1">
        <f t="array" ref="K2303">SUMPRODUCT(([2]OUT_FinalEnergyCons!$B$4:$B$10000="var_ncap")*1, (ISNUMBER(SEARCH("SCOM-SHngahp",[2]OUT_FinalEnergyCons!$A$4:$A$10000)))*1,[2]OUT_FinalEnergyCons!I$4:I$10000)</f>
        <v>0.43734678479799399</v>
      </c>
      <c r="L2303" s="1" cm="1">
        <f t="array" ref="L2303">SUMPRODUCT(([2]OUT_FinalEnergyCons!$B$4:$B$10000="var_ncap")*1, (ISNUMBER(SEARCH("SCOM-SHngahp",[2]OUT_FinalEnergyCons!$A$4:$A$10000)))*1,[2]OUT_FinalEnergyCons!J$4:J$10000)</f>
        <v>0.51911842413846498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1.6782718268349901E-5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2.8483782863931501E-4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1.3232688374630299E-5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2.1011286694650001E-5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5.9636639688091502E-5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9.5849448899720804E-5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4.32565990144973E-5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1.3126125075240799E-4</v>
      </c>
      <c r="G2305" s="1">
        <f t="shared" si="2177"/>
        <v>1.00361653279643E-4</v>
      </c>
      <c r="H2305" s="1">
        <f t="shared" si="2177"/>
        <v>4.7798161312985803E-2</v>
      </c>
      <c r="I2305" s="1">
        <f t="shared" si="2177"/>
        <v>3.6075211316188E-5</v>
      </c>
      <c r="J2305" s="1">
        <f t="shared" si="2177"/>
        <v>0.27132773588937598</v>
      </c>
      <c r="K2305" s="1">
        <f t="shared" si="2177"/>
        <v>0.100055719816983</v>
      </c>
      <c r="L2305" s="1">
        <f t="shared" si="2177"/>
        <v>8.2047097271388897E-2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1.3126125075240799E-4</v>
      </c>
      <c r="G2306" s="1" cm="1">
        <f t="array" ref="G2306">SUMPRODUCT(([1]OUT_FinalEnergyCons!$B$4:$B$10000="var_ncap")*1, (ISNUMBER(SEARCH("SCOM-SHWODBR",[1]OUT_FinalEnergyCons!$A$4:$A$10000)))*1,[1]OUT_FinalEnergyCons!E$4:E$10000)</f>
        <v>1.00361653279643E-4</v>
      </c>
      <c r="H2306" s="1" cm="1">
        <f t="array" ref="H2306">SUMPRODUCT(([1]OUT_FinalEnergyCons!$B$4:$B$10000="var_ncap")*1, (ISNUMBER(SEARCH("SCOM-SHWODBR",[1]OUT_FinalEnergyCons!$A$4:$A$10000)))*1,[1]OUT_FinalEnergyCons!F$4:F$10000)</f>
        <v>4.7798161312985803E-2</v>
      </c>
      <c r="I2306" s="1" cm="1">
        <f t="array" ref="I2306">SUMPRODUCT(([1]OUT_FinalEnergyCons!$B$4:$B$10000="var_ncap")*1, (ISNUMBER(SEARCH("SCOM-SHWODBR",[1]OUT_FinalEnergyCons!$A$4:$A$10000)))*1,[1]OUT_FinalEnergyCons!G$4:G$10000)</f>
        <v>3.6075211316188E-5</v>
      </c>
      <c r="J2306" s="1" cm="1">
        <f t="array" ref="J2306">SUMPRODUCT(([2]OUT_FinalEnergyCons!$B$4:$B$10000="var_ncap")*1, (ISNUMBER(SEARCH("SCOM-SHWODBR",[2]OUT_FinalEnergyCons!$A$4:$A$10000)))*1,[2]OUT_FinalEnergyCons!H$4:H$10000)</f>
        <v>0.27132773588937598</v>
      </c>
      <c r="K2306" s="1" cm="1">
        <f t="array" ref="K2306">SUMPRODUCT(([2]OUT_FinalEnergyCons!$B$4:$B$10000="var_ncap")*1, (ISNUMBER(SEARCH("SCOM-SHWODBR",[2]OUT_FinalEnergyCons!$A$4:$A$10000)))*1,[2]OUT_FinalEnergyCons!I$4:I$10000)</f>
        <v>0.100055719816983</v>
      </c>
      <c r="L2306" s="1" cm="1">
        <f t="array" ref="L2306">SUMPRODUCT(([2]OUT_FinalEnergyCons!$B$4:$B$10000="var_ncap")*1, (ISNUMBER(SEARCH("SCOM-SHWODBR",[2]OUT_FinalEnergyCons!$A$4:$A$10000)))*1,[2]OUT_FinalEnergyCons!J$4:J$10000)</f>
        <v>8.2047097271388897E-2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2.42001420874426E-5</v>
      </c>
      <c r="G2307" s="1">
        <f t="shared" si="2178"/>
        <v>2.6296532478893402E-2</v>
      </c>
      <c r="H2307" s="1">
        <f t="shared" si="2178"/>
        <v>7.1920069004541697E-6</v>
      </c>
      <c r="I2307" s="1">
        <f t="shared" si="2178"/>
        <v>1.2354847035082E-4</v>
      </c>
      <c r="J2307" s="1">
        <f t="shared" si="2178"/>
        <v>2.3577826440327101E-2</v>
      </c>
      <c r="K2307" s="1">
        <f t="shared" si="2178"/>
        <v>3.5434734696916999E-2</v>
      </c>
      <c r="L2307" s="1">
        <f t="shared" si="2178"/>
        <v>2.706799661852E-2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2.42001420874426E-5</v>
      </c>
      <c r="G2308" s="1" cm="1">
        <f t="array" ref="G2308">SUMPRODUCT(([1]OUT_FinalEnergyCons!$B$4:$B$10000="var_ncap")*1,(ISNUMBER(SEARCH("SCOM-SHPLTBR",[1]OUT_FinalEnergyCons!$A$4:$A$10000)))*1,[1]OUT_FinalEnergyCons!E$4:E$10000)</f>
        <v>2.6296532478893402E-2</v>
      </c>
      <c r="H2308" s="1" cm="1">
        <f t="array" ref="H2308">SUMPRODUCT(([1]OUT_FinalEnergyCons!$B$4:$B$10000="var_ncap")*1,(ISNUMBER(SEARCH("SCOM-SHPLTBR",[1]OUT_FinalEnergyCons!$A$4:$A$10000)))*1,[1]OUT_FinalEnergyCons!F$4:F$10000)</f>
        <v>7.1920069004541697E-6</v>
      </c>
      <c r="I2308" s="1" cm="1">
        <f t="array" ref="I2308">SUMPRODUCT(([1]OUT_FinalEnergyCons!$B$4:$B$10000="var_ncap")*1,(ISNUMBER(SEARCH("SCOM-SHPLTBR",[1]OUT_FinalEnergyCons!$A$4:$A$10000)))*1,[1]OUT_FinalEnergyCons!G$4:G$10000)</f>
        <v>1.2354847035082E-4</v>
      </c>
      <c r="J2308" s="1" cm="1">
        <f t="array" ref="J2308">SUMPRODUCT(([2]OUT_FinalEnergyCons!$B$4:$B$10000="var_ncap")*1,(ISNUMBER(SEARCH("SCOM-SHPLTBR",[2]OUT_FinalEnergyCons!$A$4:$A$10000)))*1,[2]OUT_FinalEnergyCons!H$4:H$10000)</f>
        <v>2.3577826440327101E-2</v>
      </c>
      <c r="K2308" s="1" cm="1">
        <f t="array" ref="K2308">SUMPRODUCT(([2]OUT_FinalEnergyCons!$B$4:$B$10000="var_ncap")*1,(ISNUMBER(SEARCH("SCOM-SHPLTBR",[2]OUT_FinalEnergyCons!$A$4:$A$10000)))*1,[2]OUT_FinalEnergyCons!I$4:I$10000)</f>
        <v>3.5434734696916999E-2</v>
      </c>
      <c r="L2308" s="1" cm="1">
        <f t="array" ref="L2308">SUMPRODUCT(([2]OUT_FinalEnergyCons!$B$4:$B$10000="var_ncap")*1,(ISNUMBER(SEARCH("SCOM-SHPLTBR",[2]OUT_FinalEnergyCons!$A$4:$A$10000)))*1,[2]OUT_FinalEnergyCons!J$4:J$10000)</f>
        <v>2.706799661852E-2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1.5935382007979001E-4</v>
      </c>
      <c r="G2309" s="1">
        <f t="shared" si="2179"/>
        <v>9.39963759144718E-3</v>
      </c>
      <c r="H2309" s="1">
        <f t="shared" si="2179"/>
        <v>4.34628502715629E-5</v>
      </c>
      <c r="I2309" s="1">
        <f t="shared" si="2179"/>
        <v>8.9556565707593706E-5</v>
      </c>
      <c r="J2309" s="1">
        <f t="shared" si="2179"/>
        <v>6.9000704996092302E-2</v>
      </c>
      <c r="K2309" s="1">
        <f t="shared" si="2179"/>
        <v>4.8836259698626899E-2</v>
      </c>
      <c r="L2309" s="1">
        <f t="shared" si="2179"/>
        <v>6.2274663842732399E-2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1.5935382007979001E-4</v>
      </c>
      <c r="G2310" s="1" cm="1">
        <f t="array" ref="G2310">SUMPRODUCT(([1]OUT_FinalEnergyCons!$B$4:$B$10000="var_ncap")*1, (ISNUMBER(SEARCH("SCOM-SHSOLBR",[1]OUT_FinalEnergyCons!$A$4:$A$10000)))*1,[1]OUT_FinalEnergyCons!E$4:E$10000)</f>
        <v>9.39963759144718E-3</v>
      </c>
      <c r="H2310" s="1" cm="1">
        <f t="array" ref="H2310">SUMPRODUCT(([1]OUT_FinalEnergyCons!$B$4:$B$10000="var_ncap")*1, (ISNUMBER(SEARCH("SCOM-SHSOLBR",[1]OUT_FinalEnergyCons!$A$4:$A$10000)))*1,[1]OUT_FinalEnergyCons!F$4:F$10000)</f>
        <v>4.34628502715629E-5</v>
      </c>
      <c r="I2310" s="1" cm="1">
        <f t="array" ref="I2310">SUMPRODUCT(([1]OUT_FinalEnergyCons!$B$4:$B$10000="var_ncap")*1, (ISNUMBER(SEARCH("SCOM-SHSOLBR",[1]OUT_FinalEnergyCons!$A$4:$A$10000)))*1,[1]OUT_FinalEnergyCons!G$4:G$10000)</f>
        <v>8.9556565707593706E-5</v>
      </c>
      <c r="J2310" s="1" cm="1">
        <f t="array" ref="J2310">SUMPRODUCT(([2]OUT_FinalEnergyCons!$B$4:$B$10000="var_ncap")*1, (ISNUMBER(SEARCH("SCOM-SHSOLBR",[2]OUT_FinalEnergyCons!$A$4:$A$10000)))*1,[2]OUT_FinalEnergyCons!H$4:H$10000)</f>
        <v>6.9000704996092302E-2</v>
      </c>
      <c r="K2310" s="1" cm="1">
        <f t="array" ref="K2310">SUMPRODUCT(([2]OUT_FinalEnergyCons!$B$4:$B$10000="var_ncap")*1, (ISNUMBER(SEARCH("SCOM-SHSOLBR",[2]OUT_FinalEnergyCons!$A$4:$A$10000)))*1,[2]OUT_FinalEnergyCons!I$4:I$10000)</f>
        <v>4.8836259698626899E-2</v>
      </c>
      <c r="L2310" s="1" cm="1">
        <f t="array" ref="L2310">SUMPRODUCT(([2]OUT_FinalEnergyCons!$B$4:$B$10000="var_ncap")*1, (ISNUMBER(SEARCH("SCOM-SHSOLBR",[2]OUT_FinalEnergyCons!$A$4:$A$10000)))*1,[2]OUT_FinalEnergyCons!J$4:J$10000)</f>
        <v>6.2274663842732399E-2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1.50430412996553E-5</v>
      </c>
      <c r="J2311" s="1">
        <f t="shared" si="2180"/>
        <v>0.33794699405948903</v>
      </c>
      <c r="K2311" s="1">
        <f t="shared" si="2180"/>
        <v>0.69371113853274702</v>
      </c>
      <c r="L2311" s="1">
        <f t="shared" si="2180"/>
        <v>0.39742165735887602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1.50430412996553E-5</v>
      </c>
      <c r="J2312" s="1" cm="1">
        <f t="array" ref="J2312">SUMPRODUCT(([2]OUT_FinalEnergyCons!$B$4:$B$10000="var_ncap")*1, (ISNUMBER(SEARCH("SCOM-SHH2BR",[2]OUT_FinalEnergyCons!$A$4:$A$10000)))*1,[2]OUT_FinalEnergyCons!H$4:H$10000)</f>
        <v>0.33794699405948903</v>
      </c>
      <c r="K2312" s="1" cm="1">
        <f t="array" ref="K2312">SUMPRODUCT(([2]OUT_FinalEnergyCons!$B$4:$B$10000="var_ncap")*1, (ISNUMBER(SEARCH("SCOM-SHH2BR",[2]OUT_FinalEnergyCons!$A$4:$A$10000)))*1,[2]OUT_FinalEnergyCons!I$4:I$10000)</f>
        <v>0.69371113853274702</v>
      </c>
      <c r="L2312" s="1" cm="1">
        <f t="array" ref="L2312">SUMPRODUCT(([2]OUT_FinalEnergyCons!$B$4:$B$10000="var_ncap")*1, (ISNUMBER(SEARCH("SCOM-SHH2BR",[2]OUT_FinalEnergyCons!$A$4:$A$10000)))*1,[2]OUT_FinalEnergyCons!J$4:J$10000)</f>
        <v>0.39742165735887602</v>
      </c>
      <c r="N2312" s="1"/>
    </row>
    <row r="2313" spans="2:14" x14ac:dyDescent="0.35">
      <c r="B2313" s="5" t="str">
        <f>SPS2_SOC_High!B2021</f>
        <v>SPS1</v>
      </c>
      <c r="C2313" s="5" t="str">
        <f>SPS2_SOC_High!C2021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2.6353821030730001E-3</v>
      </c>
      <c r="G2313" s="3">
        <f t="shared" si="2181"/>
        <v>6.5646331272761299E-5</v>
      </c>
      <c r="H2313" s="3">
        <f t="shared" si="2181"/>
        <v>1.3748325669458501E-4</v>
      </c>
      <c r="I2313" s="3">
        <f t="shared" si="2181"/>
        <v>4.8715950564662373E-3</v>
      </c>
      <c r="J2313" s="3">
        <f t="shared" si="2181"/>
        <v>0.34026438502291284</v>
      </c>
      <c r="K2313" s="3">
        <f t="shared" si="2181"/>
        <v>3.3094841131705581</v>
      </c>
      <c r="L2313" s="3">
        <f t="shared" ref="L2313" si="2182">SUM(L2314,L2318,L2321)</f>
        <v>1.0055050723139809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2.6353821030730001E-3</v>
      </c>
      <c r="G2314" s="1" cm="1">
        <f t="array" ref="G2314">SUMPRODUCT(ISNUMBER(SEARCH("SUP_ELCH2*",[1]OUT_SyntheticFuels!$C$4:$C$1000))*1,("var_ncap"=[1]OUT_SyntheticFuels!$B$4:$B$1000)*1,[1]OUT_SyntheticFuels!F$4:F$1000)</f>
        <v>6.5646331272761299E-5</v>
      </c>
      <c r="H2314" s="1" cm="1">
        <f t="array" ref="H2314">SUMPRODUCT(ISNUMBER(SEARCH("SUP_ELCH2*",[1]OUT_SyntheticFuels!$C$4:$C$1000))*1,("var_ncap"=[1]OUT_SyntheticFuels!$B$4:$B$1000)*1,[1]OUT_SyntheticFuels!G$4:G$1000)</f>
        <v>1.3748325669458501E-4</v>
      </c>
      <c r="I2314" s="1" cm="1">
        <f t="array" ref="I2314">SUMPRODUCT(ISNUMBER(SEARCH("SUP_ELCH2*",[1]OUT_SyntheticFuels!$C$4:$C$1000))*1,("var_ncap"=[1]OUT_SyntheticFuels!$B$4:$B$1000)*1,[1]OUT_SyntheticFuels!H$4:H$1000)</f>
        <v>3.9758858956961338E-3</v>
      </c>
      <c r="J2314" s="1" cm="1">
        <f t="array" ref="J2314">SUMPRODUCT(ISNUMBER(SEARCH("SUP_ELCH2*",[2]OUT_SyntheticFuels!$C$4:$C$1000))*1,("var_ncap"=[2]OUT_SyntheticFuels!$B$4:$B$1000)*1,[2]OUT_SyntheticFuels!I$4:I$1000)</f>
        <v>0.27625237803465541</v>
      </c>
      <c r="K2314" s="1" cm="1">
        <f t="array" ref="K2314">SUMPRODUCT(ISNUMBER(SEARCH("SUP_ELCH2*",[2]OUT_SyntheticFuels!$C$4:$C$1000))*1,("var_ncap"=[2]OUT_SyntheticFuels!$B$4:$B$1000)*1,[2]OUT_SyntheticFuels!J$4:J$1000)</f>
        <v>3.2794147900731652</v>
      </c>
      <c r="L2314" s="1" cm="1">
        <f t="array" ref="L2314">SUMPRODUCT(ISNUMBER(SEARCH("SUP_ELCH2*",[2]OUT_SyntheticFuels!$C$4:$C$1000))*1,("var_ncap"=[2]OUT_SyntheticFuels!$B$4:$B$1000)*1,[2]OUT_SyntheticFuels!K$4:K$1000)</f>
        <v>1.0053126162763752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2.6353821030730001E-3</v>
      </c>
      <c r="G2315" s="1">
        <f t="shared" si="2185"/>
        <v>6.5646331272761299E-5</v>
      </c>
      <c r="H2315" s="1">
        <f t="shared" si="2185"/>
        <v>1.3748325669458501E-4</v>
      </c>
      <c r="I2315" s="1">
        <f t="shared" si="2185"/>
        <v>3.8335980500460898E-3</v>
      </c>
      <c r="J2315" s="1">
        <f t="shared" si="2185"/>
        <v>0.27607212479431098</v>
      </c>
      <c r="K2315" s="1">
        <f t="shared" si="2185"/>
        <v>1.93094793888492</v>
      </c>
      <c r="L2315" s="1">
        <f t="shared" ref="L2315" si="2186">L2314-L2316-L2317</f>
        <v>0.92369956925530794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1.42287845650044E-4</v>
      </c>
      <c r="J2316" s="1" cm="1">
        <f t="array" ref="J2316">SUMPRODUCT(ISNUMBER(SEARCH("SUP_ELCH2*D",[2]OUT_SyntheticFuels!$C$4:$C$1000))*1,("var_ncap"=[2]OUT_SyntheticFuels!$B$4:$B$1000)*1,[2]OUT_SyntheticFuels!I$4:I$1000)</f>
        <v>1.8025324034444E-4</v>
      </c>
      <c r="K2316" s="1" cm="1">
        <f t="array" ref="K2316">SUMPRODUCT(ISNUMBER(SEARCH("SUP_ELCH2*D",[2]OUT_SyntheticFuels!$C$4:$C$1000))*1,("var_ncap"=[2]OUT_SyntheticFuels!$B$4:$B$1000)*1,[2]OUT_SyntheticFuels!J$4:J$1000)</f>
        <v>1.34468910922269</v>
      </c>
      <c r="L2316" s="1" cm="1">
        <f t="array" ref="L2316">SUMPRODUCT(ISNUMBER(SEARCH("SUP_ELCH2*D",[2]OUT_SyntheticFuels!$C$4:$C$1000))*1,("var_ncap"=[2]OUT_SyntheticFuels!$B$4:$B$1000)*1,[2]OUT_SyntheticFuels!K$4:K$1000)</f>
        <v>7.8134913913243995E-2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3.7777419655550602E-3</v>
      </c>
      <c r="L2317" s="1" cm="1">
        <f t="array" ref="L2317">SUMPRODUCT(ISNUMBER(SEARCH("SUP_ELCH2*SOEC*",[2]OUT_SyntheticFuels!$C$4:$C$1000))*1,("var_ncap"=[2]OUT_SyntheticFuels!$B$4:$B$1000)*1,[2]OUT_SyntheticFuels!K$4:K$1000)</f>
        <v>3.4781331078232499E-3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8.3647918781319503E-6</v>
      </c>
      <c r="J2318" s="1">
        <f t="shared" si="2187"/>
        <v>2.2898691466119999E-6</v>
      </c>
      <c r="K2318" s="1">
        <f t="shared" si="2187"/>
        <v>3.2075618734325451E-6</v>
      </c>
      <c r="L2318" s="1">
        <f t="shared" ref="L2318" si="2188">SUM(L2319:L2320)</f>
        <v>1.919304879870738E-4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8.3647918781319503E-6</v>
      </c>
      <c r="J2319" s="1" cm="1">
        <f t="array" ref="J2319">SUMPRODUCT(ISNUMBER(SEARCH("SUP_NGAH2",[2]OUT_SyntheticFuels!$C$4:$C$1000))*1,("var_ncap"=[2]OUT_SyntheticFuels!$B$4:$B$1000)*1,[2]OUT_SyntheticFuels!I$4:I$1000)-J2320</f>
        <v>2.2898691466119999E-6</v>
      </c>
      <c r="K2319" s="1" cm="1">
        <f t="array" ref="K2319">SUMPRODUCT(ISNUMBER(SEARCH("SUP_NGAH2",[2]OUT_SyntheticFuels!$C$4:$C$1000))*1,("var_ncap"=[2]OUT_SyntheticFuels!$B$4:$B$1000)*1,[2]OUT_SyntheticFuels!J$4:J$1000)-K2320</f>
        <v>2.4568355262798201E-6</v>
      </c>
      <c r="L2319" s="1" cm="1">
        <f t="array" ref="L2319">SUMPRODUCT(ISNUMBER(SEARCH("SUP_NGAH2",[2]OUT_SyntheticFuels!$C$4:$C$1000))*1,("var_ncap"=[2]OUT_SyntheticFuels!$B$4:$B$1000)*1,[2]OUT_SyntheticFuels!K$4:K$1000)-L2320</f>
        <v>1.1314100632493101E-4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7.5072634715272495E-7</v>
      </c>
      <c r="L2320" s="1" cm="1">
        <f t="array" ref="L2320">SUMPRODUCT(ISNUMBER(SEARCH("SUP_NGAH2CCS",[2]OUT_SyntheticFuels!$C$4:$C$1000))*1,("var_ncap"=[2]OUT_SyntheticFuels!$B$4:$B$1000)*1,[2]OUT_SyntheticFuels!K$4:K$1000)</f>
        <v>7.8789481662142795E-5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8.8734436889197196E-4</v>
      </c>
      <c r="J2321" s="1">
        <f t="shared" si="2189"/>
        <v>6.4009717119110798E-2</v>
      </c>
      <c r="K2321" s="1">
        <f t="shared" si="2189"/>
        <v>3.0066115535519598E-2</v>
      </c>
      <c r="L2321" s="1">
        <f t="shared" ref="L2321" si="2190">SUM(L2322:L2323)</f>
        <v>5.2554961845572499E-7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8.8734436889197196E-4</v>
      </c>
      <c r="J2322" s="1" cm="1">
        <f t="array" ref="J2322">SUMPRODUCT(ISNUMBER(SEARCH("SUP_WODH2",[2]OUT_SyntheticFuels!$C$4:$C$1000))*1,("var_ncap"=[2]OUT_SyntheticFuels!$B$4:$B$1000)*1,[2]OUT_SyntheticFuels!I$4:I$1000)-J2323</f>
        <v>6.4009717119110798E-2</v>
      </c>
      <c r="K2322" s="1" cm="1">
        <f t="array" ref="K2322">SUMPRODUCT(ISNUMBER(SEARCH("SUP_WODH2",[2]OUT_SyntheticFuels!$C$4:$C$1000))*1,("var_ncap"=[2]OUT_SyntheticFuels!$B$4:$B$1000)*1,[2]OUT_SyntheticFuels!J$4:J$1000)-K2323</f>
        <v>3.0066115535519598E-2</v>
      </c>
      <c r="L2322" s="1" cm="1">
        <f t="array" ref="L2322">SUMPRODUCT(ISNUMBER(SEARCH("SUP_WODH2",[2]OUT_SyntheticFuels!$C$4:$C$1000))*1,("var_ncap"=[2]OUT_SyntheticFuels!$B$4:$B$1000)*1,[2]OUT_SyntheticFuels!K$4:K$1000)-L2323</f>
        <v>5.2554961845572499E-7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1.5317256403648201E-5</v>
      </c>
      <c r="G2325" s="7" cm="1">
        <f t="array" ref="G2325">SUMPRODUCT(("CT_CWODBDS"=[1]OUT_SyntheticFuels!$C$4:$C$1000)*1,("var_ncap"=[1]OUT_SyntheticFuels!$B$4:$B$1000)*1,[1]OUT_SyntheticFuels!F$4:F$1000)</f>
        <v>4.8524294647227398E-6</v>
      </c>
      <c r="H2325" s="7" cm="1">
        <f t="array" ref="H2325">SUMPRODUCT(("CT_CWODBDS"=[1]OUT_SyntheticFuels!$C$4:$C$1000)*1,("var_ncap"=[1]OUT_SyntheticFuels!$B$4:$B$1000)*1,[1]OUT_SyntheticFuels!G$4:G$1000)</f>
        <v>2.0768275224184099E-5</v>
      </c>
      <c r="I2325" s="7" cm="1">
        <f t="array" ref="I2325">SUMPRODUCT(("CT_CWODBDS"=[1]OUT_SyntheticFuels!$C$4:$C$1000)*1,("var_ncap"=[1]OUT_SyntheticFuels!$B$4:$B$1000)*1,[1]OUT_SyntheticFuels!H$4:H$1000)</f>
        <v>7.6793403797711493E-6</v>
      </c>
      <c r="J2325" s="7" cm="1">
        <f t="array" ref="J2325">SUMPRODUCT(("CT_CWODBDS"=[2]OUT_SyntheticFuels!$C$4:$C$1000)*1,("var_ncap"=[2]OUT_SyntheticFuels!$B$4:$B$1000)*1,[2]OUT_SyntheticFuels!I$4:I$1000)</f>
        <v>3.9043516500587897E-5</v>
      </c>
      <c r="K2325" s="7" cm="1">
        <f t="array" ref="K2325">SUMPRODUCT(("CT_CWODBDS"=[2]OUT_SyntheticFuels!$C$4:$C$1000)*1,("var_ncap"=[2]OUT_SyntheticFuels!$B$4:$B$1000)*1,[2]OUT_SyntheticFuels!J$4:J$1000)</f>
        <v>2.60436812641144E-4</v>
      </c>
      <c r="L2325" s="7" cm="1">
        <f t="array" ref="L2325">SUMPRODUCT(("CT_CWODBDS"=[2]OUT_SyntheticFuels!$C$4:$C$1000)*1,("var_ncap"=[2]OUT_SyntheticFuels!$B$4:$B$1000)*1,[2]OUT_SyntheticFuels!K$4:K$1000)</f>
        <v>8.4328018988506694E-3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5.7310982874705603E-2</v>
      </c>
      <c r="G2327" s="7" cm="1">
        <f t="array" ref="G2327">SUMPRODUCT(("CT_CWODETH"=[1]OUT_SyntheticFuels!$C$4:$C$1000)*1,("var_ncap"=[1]OUT_SyntheticFuels!$B$4:$B$1000)*1,[1]OUT_SyntheticFuels!F$4:F$1000)</f>
        <v>9.8684992321100103E-6</v>
      </c>
      <c r="H2327" s="7" cm="1">
        <f t="array" ref="H2327">SUMPRODUCT(("CT_CWODETH"=[1]OUT_SyntheticFuels!$C$4:$C$1000)*1,("var_ncap"=[1]OUT_SyntheticFuels!$B$4:$B$1000)*1,[1]OUT_SyntheticFuels!G$4:G$1000)</f>
        <v>3.5562804649126702E-3</v>
      </c>
      <c r="I2327" s="7" cm="1">
        <f t="array" ref="I2327">SUMPRODUCT(("CT_CWODETH"=[1]OUT_SyntheticFuels!$C$4:$C$1000)*1,("var_ncap"=[1]OUT_SyntheticFuels!$B$4:$B$1000)*1,[1]OUT_SyntheticFuels!H$4:H$1000)</f>
        <v>1.5126942843208599E-2</v>
      </c>
      <c r="J2327" s="7" cm="1">
        <f t="array" ref="J2327">SUMPRODUCT(("CT_CWODETH"=[2]OUT_SyntheticFuels!$C$4:$C$1000)*1,("var_ncap"=[2]OUT_SyntheticFuels!$B$4:$B$1000)*1,[2]OUT_SyntheticFuels!I$4:I$1000)</f>
        <v>7.83099834881909E-7</v>
      </c>
      <c r="K2327" s="7" cm="1">
        <f t="array" ref="K2327">SUMPRODUCT(("CT_CWODETH"=[2]OUT_SyntheticFuels!$C$4:$C$1000)*1,("var_ncap"=[2]OUT_SyntheticFuels!$B$4:$B$1000)*1,[2]OUT_SyntheticFuels!J$4:J$1000)</f>
        <v>1.4607170227695701E-6</v>
      </c>
      <c r="L2327" s="7" cm="1">
        <f t="array" ref="L2327">SUMPRODUCT(("CT_CWODETH"=[2]OUT_SyntheticFuels!$C$4:$C$1000)*1,("var_ncap"=[2]OUT_SyntheticFuels!$B$4:$B$1000)*1,[2]OUT_SyntheticFuels!K$4:K$1000)</f>
        <v>5.3937959761623897E-5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6.8337729709203501E-2</v>
      </c>
      <c r="G2329" s="7" cm="1">
        <f t="array" ref="G2329">SUMPRODUCT(("SUP_MNRBIO"=[1]OUT_SyntheticFuels!$C$4:$C$1000)*1,("var_ncap"=[1]OUT_SyntheticFuels!$B$4:$B$1000)*1,[1]OUT_SyntheticFuels!F$4:F$1000)</f>
        <v>9.4216443464120697E-2</v>
      </c>
      <c r="H2329" s="7" cm="1">
        <f t="array" ref="H2329">SUMPRODUCT(("SUP_MNRBIO"=[1]OUT_SyntheticFuels!$C$4:$C$1000)*1,("var_ncap"=[1]OUT_SyntheticFuels!$B$4:$B$1000)*1,[1]OUT_SyntheticFuels!G$4:G$1000)</f>
        <v>3.9088497292194297E-5</v>
      </c>
      <c r="I2329" s="7" cm="1">
        <f t="array" ref="I2329">SUMPRODUCT(("SUP_MNRBIO"=[1]OUT_SyntheticFuels!$C$4:$C$1000)*1,("var_ncap"=[1]OUT_SyntheticFuels!$B$4:$B$1000)*1,[1]OUT_SyntheticFuels!H$4:H$1000)</f>
        <v>3.8923052237943097E-5</v>
      </c>
      <c r="J2329" s="7" cm="1">
        <f t="array" ref="J2329">SUMPRODUCT(("SUP_MNRBIO"=[2]OUT_SyntheticFuels!$C$4:$C$1000)*1,("var_ncap"=[2]OUT_SyntheticFuels!$B$4:$B$1000)*1,[2]OUT_SyntheticFuels!I$4:I$1000)</f>
        <v>1.2987578961185799E-5</v>
      </c>
      <c r="K2329" s="7" cm="1">
        <f t="array" ref="K2329">SUMPRODUCT(("SUP_MNRBIO"=[2]OUT_SyntheticFuels!$C$4:$C$1000)*1,("var_ncap"=[2]OUT_SyntheticFuels!$B$4:$B$1000)*1,[2]OUT_SyntheticFuels!J$4:J$1000)</f>
        <v>0.149382558107651</v>
      </c>
      <c r="L2329" s="7" cm="1">
        <f t="array" ref="L2329">SUMPRODUCT(("SUP_MNRBIO"=[2]OUT_SyntheticFuels!$C$4:$C$1000)*1,("var_ncap"=[2]OUT_SyntheticFuels!$B$4:$B$1000)*1,[2]OUT_SyntheticFuels!K$4:K$1000)</f>
        <v>9.4237206656228298E-2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4.2345694322355604E-3</v>
      </c>
      <c r="G2330" s="7" cm="1">
        <f t="array" ref="G2330">SUMPRODUCT(("SUP_WSTBIO"=[1]OUT_SyntheticFuels!$C$4:$C$1000)*1,("var_ncap"=[1]OUT_SyntheticFuels!$B$4:$B$1000)*1,[1]OUT_SyntheticFuels!F$4:F$1000)</f>
        <v>2.8718115930272198E-2</v>
      </c>
      <c r="H2330" s="7" cm="1">
        <f t="array" ref="H2330">SUMPRODUCT(("SUP_WSTBIO"=[1]OUT_SyntheticFuels!$C$4:$C$1000)*1,("var_ncap"=[1]OUT_SyntheticFuels!$B$4:$B$1000)*1,[1]OUT_SyntheticFuels!G$4:G$1000)</f>
        <v>1.7068234364491501E-5</v>
      </c>
      <c r="I2330" s="7" cm="1">
        <f t="array" ref="I2330">SUMPRODUCT(("SUP_WSTBIO"=[1]OUT_SyntheticFuels!$C$4:$C$1000)*1,("var_ncap"=[1]OUT_SyntheticFuels!$B$4:$B$1000)*1,[1]OUT_SyntheticFuels!H$4:H$1000)</f>
        <v>9.3584151915205499E-2</v>
      </c>
      <c r="J2330" s="7" cm="1">
        <f t="array" ref="J2330">SUMPRODUCT(("SUP_WSTBIO"=[2]OUT_SyntheticFuels!$C$4:$C$1000)*1,("var_ncap"=[2]OUT_SyntheticFuels!$B$4:$B$1000)*1,[2]OUT_SyntheticFuels!I$4:I$1000)</f>
        <v>0.14630793005867099</v>
      </c>
      <c r="K2330" s="7" cm="1">
        <f t="array" ref="K2330">SUMPRODUCT(("SUP_WSTBIO"=[2]OUT_SyntheticFuels!$C$4:$C$1000)*1,("var_ncap"=[2]OUT_SyntheticFuels!$B$4:$B$1000)*1,[2]OUT_SyntheticFuels!J$4:J$1000)</f>
        <v>5.9110427490963201E-2</v>
      </c>
      <c r="L2330" s="7" cm="1">
        <f t="array" ref="L2330">SUMPRODUCT(("SUP_WSTBIO"=[2]OUT_SyntheticFuels!$C$4:$C$1000)*1,("var_ncap"=[2]OUT_SyntheticFuels!$B$4:$B$1000)*1,[2]OUT_SyntheticFuels!K$4:K$1000)</f>
        <v>0.17065473962499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3.7335295200932E-3</v>
      </c>
      <c r="L2332" s="7" cm="1">
        <f t="array" ref="L2332">SUMPRODUCT(("SUP_WSTHTGBIO"=[2]OUT_SyntheticFuels!$C$4:$C$1000)*1,("var_ncap"=[2]OUT_SyntheticFuels!$B$4:$B$1000)*1,[2]OUT_SyntheticFuels!K$4:K$1000)</f>
        <v>6.34833833717352E-4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1.6210554757487498E-5</v>
      </c>
      <c r="G2334" s="7" cm="1">
        <f t="array" ref="G2334">SUMPRODUCT(("SUP_WODBIO"=[1]OUT_SyntheticFuels!$C$4:$C$1000)*1,("var_ncap"=[1]OUT_SyntheticFuels!$B$4:$B$1000)*1,[1]OUT_SyntheticFuels!F$4:F$1000)</f>
        <v>6.2400521432721696E-4</v>
      </c>
      <c r="H2334" s="7" cm="1">
        <f t="array" ref="H2334">SUMPRODUCT(("SUP_WODBIO"=[1]OUT_SyntheticFuels!$C$4:$C$1000)*1,("var_ncap"=[1]OUT_SyntheticFuels!$B$4:$B$1000)*1,[1]OUT_SyntheticFuels!G$4:G$1000)</f>
        <v>2.9688482860222198E-5</v>
      </c>
      <c r="I2334" s="7" cm="1">
        <f t="array" ref="I2334">SUMPRODUCT(("SUP_WODBIO"=[1]OUT_SyntheticFuels!$C$4:$C$1000)*1,("var_ncap"=[1]OUT_SyntheticFuels!$B$4:$B$1000)*1,[1]OUT_SyntheticFuels!H$4:H$1000)</f>
        <v>1.06869260853491E-5</v>
      </c>
      <c r="J2334" s="7" cm="1">
        <f t="array" ref="J2334">SUMPRODUCT(("SUP_WODBIO"=[2]OUT_SyntheticFuels!$C$4:$C$1000)*1,("var_ncap"=[2]OUT_SyntheticFuels!$B$4:$B$1000)*1,[2]OUT_SyntheticFuels!I$4:I$1000)</f>
        <v>3.0698339171935E-5</v>
      </c>
      <c r="K2334" s="7" cm="1">
        <f t="array" ref="K2334">SUMPRODUCT(("SUP_WODBIO"=[2]OUT_SyntheticFuels!$C$4:$C$1000)*1,("var_ncap"=[2]OUT_SyntheticFuels!$B$4:$B$1000)*1,[2]OUT_SyntheticFuels!J$4:J$1000)</f>
        <v>0.24225252514406401</v>
      </c>
      <c r="L2334" s="7" cm="1">
        <f t="array" ref="L2334">SUMPRODUCT(("SUP_WODBIO"=[2]OUT_SyntheticFuels!$C$4:$C$1000)*1,("var_ncap"=[2]OUT_SyntheticFuels!$B$4:$B$1000)*1,[2]OUT_SyntheticFuels!K$4:K$1000)</f>
        <v>4.05040502306583E-5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1.55135122727915E-2</v>
      </c>
      <c r="G2336" s="7" cm="1">
        <f t="array" ref="G2336">SUMPRODUCT(("SUP_BIONGA"=[1]OUT_SyntheticFuels!$C$4:$C$1000)*1,("var_ncap"=[1]OUT_SyntheticFuels!$B$4:$B$1000)*1,[1]OUT_SyntheticFuels!F$4:F$1000)</f>
        <v>9.2654934134051806E-2</v>
      </c>
      <c r="H2336" s="7" cm="1">
        <f t="array" ref="H2336">SUMPRODUCT(("SUP_BIONGA"=[1]OUT_SyntheticFuels!$C$4:$C$1000)*1,("var_ncap"=[1]OUT_SyntheticFuels!$B$4:$B$1000)*1,[1]OUT_SyntheticFuels!G$4:G$1000)</f>
        <v>1.7814719694600799E-5</v>
      </c>
      <c r="I2336" s="7" cm="1">
        <f t="array" ref="I2336">SUMPRODUCT(("SUP_BIONGA"=[1]OUT_SyntheticFuels!$C$4:$C$1000)*1,("var_ncap"=[1]OUT_SyntheticFuels!$B$4:$B$1000)*1,[1]OUT_SyntheticFuels!H$4:H$1000)</f>
        <v>1.92791468681406E-3</v>
      </c>
      <c r="J2336" s="7" cm="1">
        <f t="array" ref="J2336">SUMPRODUCT(("SUP_BIONGA"=[2]OUT_SyntheticFuels!$C$4:$C$1000)*1,("var_ncap"=[2]OUT_SyntheticFuels!$B$4:$B$1000)*1,[2]OUT_SyntheticFuels!I$4:I$1000)</f>
        <v>1.8678683973225401E-2</v>
      </c>
      <c r="K2336" s="7" cm="1">
        <f t="array" ref="K2336">SUMPRODUCT(("SUP_BIONGA"=[2]OUT_SyntheticFuels!$C$4:$C$1000)*1,("var_ncap"=[2]OUT_SyntheticFuels!$B$4:$B$1000)*1,[2]OUT_SyntheticFuels!J$4:J$1000)</f>
        <v>0.27234812536510999</v>
      </c>
      <c r="L2336" s="7" cm="1">
        <f t="array" ref="L2336">SUMPRODUCT(("SUP_BIONGA"=[2]OUT_SyntheticFuels!$C$4:$C$1000)*1,("var_ncap"=[2]OUT_SyntheticFuels!$B$4:$B$1000)*1,[2]OUT_SyntheticFuels!K$4:K$1000)</f>
        <v>8.92803754712371E-2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0.164056371354176</v>
      </c>
      <c r="G2337" s="7" cm="1">
        <f t="array" ref="G2337">SUMPRODUCT(("CT_CWODPLT"=[1]OUT_SyntheticFuels!$C$4:$C$1000)*1,("var_ncap"=[1]OUT_SyntheticFuels!$B$4:$B$1000)*1,[1]OUT_SyntheticFuels!F$4:F$1000)</f>
        <v>4.1231146890597301E-2</v>
      </c>
      <c r="H2337" s="7" cm="1">
        <f t="array" ref="H2337">SUMPRODUCT(("CT_CWODPLT"=[1]OUT_SyntheticFuels!$C$4:$C$1000)*1,("var_ncap"=[1]OUT_SyntheticFuels!$B$4:$B$1000)*1,[1]OUT_SyntheticFuels!G$4:G$1000)</f>
        <v>2.6291447664021801E-5</v>
      </c>
      <c r="I2337" s="7" cm="1">
        <f t="array" ref="I2337">SUMPRODUCT(("CT_CWODPLT"=[1]OUT_SyntheticFuels!$C$4:$C$1000)*1,("var_ncap"=[1]OUT_SyntheticFuels!$B$4:$B$1000)*1,[1]OUT_SyntheticFuels!H$4:H$1000)</f>
        <v>2.9887101404790401E-5</v>
      </c>
      <c r="J2337" s="7" cm="1">
        <f t="array" ref="J2337">SUMPRODUCT(("CT_CWODPLT"=[2]OUT_SyntheticFuels!$C$4:$C$1000)*1,("var_ncap"=[2]OUT_SyntheticFuels!$B$4:$B$1000)*1,[2]OUT_SyntheticFuels!I$4:I$1000)</f>
        <v>1.23365856163247E-5</v>
      </c>
      <c r="K2337" s="7" cm="1">
        <f t="array" ref="K2337">SUMPRODUCT(("CT_CWODPLT"=[2]OUT_SyntheticFuels!$C$4:$C$1000)*1,("var_ncap"=[2]OUT_SyntheticFuels!$B$4:$B$1000)*1,[2]OUT_SyntheticFuels!J$4:J$1000)</f>
        <v>8.3367439627047402E-2</v>
      </c>
      <c r="L2337" s="7" cm="1">
        <f t="array" ref="L2337">SUMPRODUCT(("CT_CWODPLT"=[2]OUT_SyntheticFuels!$C$4:$C$1000)*1,("var_ncap"=[2]OUT_SyntheticFuels!$B$4:$B$1000)*1,[2]OUT_SyntheticFuels!K$4:K$1000)</f>
        <v>4.8529485120534101E-2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1.4756301969204599E-5</v>
      </c>
      <c r="J2338" s="7" cm="1">
        <f t="array" ref="J2338">SUMPRODUCT(("SUP_H2NGA"=[2]OUT_SyntheticFuels!$C$4:$C$1000)*1,("var_ncap"=[2]OUT_SyntheticFuels!$B$4:$B$1000)*1,[2]OUT_SyntheticFuels!I$4:I$1000)</f>
        <v>4.8253072733732796E-6</v>
      </c>
      <c r="K2338" s="7" cm="1">
        <f t="array" ref="K2338">SUMPRODUCT(("SUP_H2NGA"=[2]OUT_SyntheticFuels!$C$4:$C$1000)*1,("var_ncap"=[2]OUT_SyntheticFuels!$B$4:$B$1000)*1,[2]OUT_SyntheticFuels!J$4:J$1000)</f>
        <v>1.56524391927568</v>
      </c>
      <c r="L2338" s="7" cm="1">
        <f t="array" ref="L2338">SUMPRODUCT(("SUP_H2NGA"=[2]OUT_SyntheticFuels!$C$4:$C$1000)*1,("var_ncap"=[2]OUT_SyntheticFuels!$B$4:$B$1000)*1,[2]OUT_SyntheticFuels!K$4:K$1000)</f>
        <v>0.54239526283924799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3.63733123604139E-5</v>
      </c>
      <c r="J2339" s="7" cm="1">
        <f t="array" ref="J2339">SUMPRODUCT(("SUP_H2DSL"=[2]OUT_SyntheticFuels!$C$4:$C$1000)*1,("var_ncap"=[2]OUT_SyntheticFuels!$B$4:$B$1000)*1,[2]OUT_SyntheticFuels!I$4:I$1000)</f>
        <v>7.2154343703520103E-6</v>
      </c>
      <c r="K2339" s="7" cm="1">
        <f t="array" ref="K2339">SUMPRODUCT(("SUP_H2DSL"=[2]OUT_SyntheticFuels!$C$4:$C$1000)*1,("var_ncap"=[2]OUT_SyntheticFuels!$B$4:$B$1000)*1,[2]OUT_SyntheticFuels!J$4:J$1000)</f>
        <v>1.20061736815191E-3</v>
      </c>
      <c r="L2339" s="7" cm="1">
        <f t="array" ref="L2339">SUMPRODUCT(("SUP_H2DSL"=[2]OUT_SyntheticFuels!$C$4:$C$1000)*1,("var_ncap"=[2]OUT_SyntheticFuels!$B$4:$B$1000)*1,[2]OUT_SyntheticFuels!K$4:K$1000)</f>
        <v>0.175781252899121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4.2022697970547602E-5</v>
      </c>
      <c r="J2340" s="7" cm="1">
        <f t="array" ref="J2340">SUMPRODUCT(("SUP_H2GSL"=[2]OUT_SyntheticFuels!$C$4:$C$1000)*1,("var_ncap"=[2]OUT_SyntheticFuels!$B$4:$B$1000)*1,[2]OUT_SyntheticFuels!I$4:I$1000)</f>
        <v>8.1595846978231403E-6</v>
      </c>
      <c r="K2340" s="7" cm="1">
        <f t="array" ref="K2340">SUMPRODUCT(("SUP_H2GSL"=[2]OUT_SyntheticFuels!$C$4:$C$1000)*1,("var_ncap"=[2]OUT_SyntheticFuels!$B$4:$B$1000)*1,[2]OUT_SyntheticFuels!J$4:J$1000)</f>
        <v>9.5683823137193702E-2</v>
      </c>
      <c r="L2340" s="7" cm="1">
        <f t="array" ref="L2340">SUMPRODUCT(("SUP_H2GSL"=[2]OUT_SyntheticFuels!$C$4:$C$1000)*1,("var_ncap"=[2]OUT_SyntheticFuels!$B$4:$B$1000)*1,[2]OUT_SyntheticFuels!K$4:K$1000)</f>
        <v>4.7337433907013502E-6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717.2675910987108</v>
      </c>
      <c r="D3" s="3">
        <f t="shared" ref="D3:H3" si="0">SUM(D4:D7)</f>
        <v>704.05237718568969</v>
      </c>
      <c r="E3" s="3">
        <f t="shared" si="0"/>
        <v>688.6842960626102</v>
      </c>
      <c r="F3" s="3">
        <f t="shared" si="0"/>
        <v>612.7545775380629</v>
      </c>
      <c r="G3" s="3">
        <f t="shared" si="0"/>
        <v>584.5556641179561</v>
      </c>
      <c r="H3" s="3">
        <f t="shared" si="0"/>
        <v>544.92608895425496</v>
      </c>
    </row>
    <row r="4" spans="2:8" x14ac:dyDescent="0.35">
      <c r="B4" s="25" t="s">
        <v>1727</v>
      </c>
      <c r="C4" s="1">
        <f>SPS2_SOC_High!F763</f>
        <v>142.22068285386743</v>
      </c>
      <c r="D4" s="1">
        <f>SPS2_SOC_High!G763</f>
        <v>142.43487060158498</v>
      </c>
      <c r="E4" s="1">
        <f>SPS2_SOC_High!H763</f>
        <v>147.51305415580941</v>
      </c>
      <c r="F4" s="1">
        <f>SPS2_SOC_High!I763</f>
        <v>148.41977227486933</v>
      </c>
      <c r="G4" s="1">
        <f>SPS2_SOC_High!J763</f>
        <v>148.1657182780018</v>
      </c>
      <c r="H4" s="1">
        <f>SPS2_SOC_High!K763</f>
        <v>133.05718806274143</v>
      </c>
    </row>
    <row r="5" spans="2:8" x14ac:dyDescent="0.35">
      <c r="B5" s="25" t="s">
        <v>1728</v>
      </c>
      <c r="C5" s="1">
        <f>SPS2_SOC_High!F882</f>
        <v>140.10259811175644</v>
      </c>
      <c r="D5" s="1">
        <f>SPS2_SOC_High!G882</f>
        <v>136.76646895044979</v>
      </c>
      <c r="E5" s="1">
        <f>SPS2_SOC_High!H882</f>
        <v>132.76306201141824</v>
      </c>
      <c r="F5" s="1">
        <f>SPS2_SOC_High!I882</f>
        <v>121.47084718927252</v>
      </c>
      <c r="G5" s="1">
        <f>SPS2_SOC_High!J882</f>
        <v>118.11241196680771</v>
      </c>
      <c r="H5" s="1">
        <f>SPS2_SOC_High!K882</f>
        <v>113.5910393064585</v>
      </c>
    </row>
    <row r="6" spans="2:8" x14ac:dyDescent="0.35">
      <c r="B6" s="25" t="s">
        <v>1729</v>
      </c>
      <c r="C6" s="1">
        <f>SPS2_SOC_High!F972</f>
        <v>219.63038989360444</v>
      </c>
      <c r="D6" s="1">
        <f>SPS2_SOC_High!G972</f>
        <v>218.95224995715466</v>
      </c>
      <c r="E6" s="1">
        <f>SPS2_SOC_High!H972</f>
        <v>219.68116153295054</v>
      </c>
      <c r="F6" s="1">
        <f>SPS2_SOC_High!I972</f>
        <v>200.42837558919013</v>
      </c>
      <c r="G6" s="1">
        <f>SPS2_SOC_High!J972</f>
        <v>201.69712808106991</v>
      </c>
      <c r="H6" s="1">
        <f>SPS2_SOC_High!K972</f>
        <v>195.48260761151394</v>
      </c>
    </row>
    <row r="7" spans="2:8" x14ac:dyDescent="0.35">
      <c r="B7" s="25" t="s">
        <v>1730</v>
      </c>
      <c r="C7" s="1">
        <f>SPS2_SOC_High!F1136+SPS2_SOC_High!F1315+SPS2_SOC_High!F1399+SPS2_SOC_High!F1483+SPS2_SOC_High!F1490+SPS2_SOC_High!F1497+SPS2_SOC_High!F1546+SPS2_SOC_High!F1593+SPS2_SOC_High!F1640</f>
        <v>215.31392023948246</v>
      </c>
      <c r="D7" s="1">
        <f>SPS2_SOC_High!G1136+SPS2_SOC_High!G1315+SPS2_SOC_High!G1399+SPS2_SOC_High!G1483+SPS2_SOC_High!G1490+SPS2_SOC_High!G1497+SPS2_SOC_High!G1546+SPS2_SOC_High!G1593+SPS2_SOC_High!G1640</f>
        <v>205.89878767650029</v>
      </c>
      <c r="E7" s="1">
        <f>SPS2_SOC_High!H1136+SPS2_SOC_High!H1315+SPS2_SOC_High!H1399+SPS2_SOC_High!H1483+SPS2_SOC_High!H1490+SPS2_SOC_High!H1497+SPS2_SOC_High!H1546+SPS2_SOC_High!H1593+SPS2_SOC_High!H1640</f>
        <v>188.72701836243198</v>
      </c>
      <c r="F7" s="1">
        <f>SPS2_SOC_High!I1136+SPS2_SOC_High!I1315+SPS2_SOC_High!I1399+SPS2_SOC_High!I1483+SPS2_SOC_High!I1490+SPS2_SOC_High!I1497+SPS2_SOC_High!I1546+SPS2_SOC_High!I1593+SPS2_SOC_High!I1640</f>
        <v>142.43558248473093</v>
      </c>
      <c r="G7" s="1">
        <f>SPS2_SOC_High!J1136+SPS2_SOC_High!J1315+SPS2_SOC_High!J1399+SPS2_SOC_High!J1483+SPS2_SOC_High!J1490+SPS2_SOC_High!J1497+SPS2_SOC_High!J1546+SPS2_SOC_High!J1593+SPS2_SOC_High!J1640</f>
        <v>116.58040579207672</v>
      </c>
      <c r="H7" s="1">
        <f>SPS2_SOC_High!K1136+SPS2_SOC_High!K1315+SPS2_SOC_High!K1399+SPS2_SOC_High!K1483+SPS2_SOC_High!K1490+SPS2_SOC_High!K1497+SPS2_SOC_High!K1546+SPS2_SOC_High!K1593+SPS2_SOC_High!K1640</f>
        <v>102.79525397354112</v>
      </c>
    </row>
    <row r="8" spans="2:8" x14ac:dyDescent="0.35">
      <c r="B8" s="2" t="s">
        <v>1735</v>
      </c>
      <c r="C8" s="3">
        <f>SUM(C9:C12)</f>
        <v>515.11896904073433</v>
      </c>
      <c r="D8" s="3">
        <f t="shared" ref="D8:H8" si="1">SUM(D9:D12)</f>
        <v>504.6128741068365</v>
      </c>
      <c r="E8" s="3">
        <f t="shared" si="1"/>
        <v>515.96567653241584</v>
      </c>
      <c r="F8" s="3">
        <f t="shared" si="1"/>
        <v>576.5063256427934</v>
      </c>
      <c r="G8" s="3">
        <f t="shared" si="1"/>
        <v>518.04067552723859</v>
      </c>
      <c r="H8" s="3">
        <f t="shared" si="1"/>
        <v>581.41841574555679</v>
      </c>
    </row>
    <row r="9" spans="2:8" x14ac:dyDescent="0.35">
      <c r="B9" s="25" t="s">
        <v>1732</v>
      </c>
      <c r="C9" s="1">
        <f>SPS2_SOC_High!F291+SPS2_SOC_High!F409</f>
        <v>495.64127737409598</v>
      </c>
      <c r="D9" s="1">
        <f>SPS2_SOC_High!G291+SPS2_SOC_High!G409</f>
        <v>476.27630960831152</v>
      </c>
      <c r="E9" s="1">
        <f>SPS2_SOC_High!H291+SPS2_SOC_High!H409</f>
        <v>483.96899197505763</v>
      </c>
      <c r="F9" s="1">
        <f>SPS2_SOC_High!I291+SPS2_SOC_High!I409</f>
        <v>544.45136584650788</v>
      </c>
      <c r="G9" s="1">
        <f>SPS2_SOC_High!J291+SPS2_SOC_High!J409</f>
        <v>479.91868803977934</v>
      </c>
      <c r="H9" s="1">
        <f>SPS2_SOC_High!K291+SPS2_SOC_High!K409</f>
        <v>504.6479688677905</v>
      </c>
    </row>
    <row r="10" spans="2:8" x14ac:dyDescent="0.35">
      <c r="B10" s="25" t="s">
        <v>1733</v>
      </c>
      <c r="C10" s="1">
        <f>SPS2_SOC_High!F590+SPS2_SOC_High!F604+SPS2_SOC_High!F644</f>
        <v>19.470356694638745</v>
      </c>
      <c r="D10" s="1">
        <f>SPS2_SOC_High!G590+SPS2_SOC_High!G604+SPS2_SOC_High!G644</f>
        <v>28.307015976839406</v>
      </c>
      <c r="E10" s="1">
        <f>SPS2_SOC_High!H590+SPS2_SOC_High!H604+SPS2_SOC_High!H644</f>
        <v>31.966590453546335</v>
      </c>
      <c r="F10" s="1">
        <f>SPS2_SOC_High!I590+SPS2_SOC_High!I604+SPS2_SOC_High!I644</f>
        <v>31.916279769575141</v>
      </c>
      <c r="G10" s="1">
        <f>SPS2_SOC_High!J590+SPS2_SOC_High!J604+SPS2_SOC_High!J644</f>
        <v>25.764382133065268</v>
      </c>
      <c r="H10" s="1">
        <f>SPS2_SOC_High!K590+SPS2_SOC_High!K604+SPS2_SOC_High!K644</f>
        <v>40.102081088615186</v>
      </c>
    </row>
    <row r="11" spans="2:8" x14ac:dyDescent="0.35">
      <c r="B11" s="25" t="s">
        <v>1731</v>
      </c>
      <c r="C11" s="1">
        <f>SPS2_SOC_High!F679</f>
        <v>7.3349719996056804E-3</v>
      </c>
      <c r="D11" s="1">
        <f>SPS2_SOC_High!G679</f>
        <v>2.9548521685575584E-2</v>
      </c>
      <c r="E11" s="1">
        <f>SPS2_SOC_High!H679</f>
        <v>3.0094103811861984E-2</v>
      </c>
      <c r="F11" s="1">
        <f>SPS2_SOC_High!I679</f>
        <v>0.13868002671038823</v>
      </c>
      <c r="G11" s="1">
        <f>SPS2_SOC_High!J679</f>
        <v>12.357605354394021</v>
      </c>
      <c r="H11" s="1">
        <f>SPS2_SOC_High!K679</f>
        <v>36.668295859926886</v>
      </c>
    </row>
    <row r="12" spans="2:8" x14ac:dyDescent="0.35">
      <c r="B12" s="25" t="s">
        <v>1734</v>
      </c>
      <c r="C12" s="1">
        <f>SPS2_SOC_High!F1707</f>
        <v>0</v>
      </c>
      <c r="D12" s="1">
        <f>SPS2_SOC_High!G1707</f>
        <v>0</v>
      </c>
      <c r="E12" s="1">
        <f>SPS2_SOC_High!H1707</f>
        <v>0</v>
      </c>
      <c r="F12" s="1">
        <f>SPS2_SOC_High!I1707</f>
        <v>0</v>
      </c>
      <c r="G12" s="1">
        <f>SPS2_SOC_High!J1707</f>
        <v>0</v>
      </c>
      <c r="H12" s="1">
        <f>SPS2_SOC_High!K1707</f>
        <v>6.9929224334238998E-5</v>
      </c>
    </row>
    <row r="13" spans="2:8" x14ac:dyDescent="0.35">
      <c r="B13" s="2" t="s">
        <v>1736</v>
      </c>
      <c r="C13" s="3">
        <f>SPS2_SOC_High!F2+SPS2_SOC_High!F20-SPS2_SOC_High!F57</f>
        <v>966.1586105473898</v>
      </c>
      <c r="D13" s="3">
        <f>SPS2_SOC_High!G2+SPS2_SOC_High!G20-SPS2_SOC_High!G57</f>
        <v>964.34809762371572</v>
      </c>
      <c r="E13" s="3">
        <f>SPS2_SOC_High!H2+SPS2_SOC_High!H20-SPS2_SOC_High!H57</f>
        <v>916.44483351942233</v>
      </c>
      <c r="F13" s="3">
        <f>SPS2_SOC_High!I2+SPS2_SOC_High!I20-SPS2_SOC_High!I57</f>
        <v>892.21411499393776</v>
      </c>
      <c r="G13" s="3">
        <f>SPS2_SOC_High!J2+SPS2_SOC_High!J20-SPS2_SOC_High!J57</f>
        <v>790.94408086934891</v>
      </c>
      <c r="H13" s="3">
        <f>SPS2_SOC_High!K2+SPS2_SOC_High!K20-SPS2_SOC_High!K57</f>
        <v>741.53352869689684</v>
      </c>
    </row>
    <row r="14" spans="2:8" x14ac:dyDescent="0.35">
      <c r="B14" s="25" t="s">
        <v>1737</v>
      </c>
      <c r="C14" s="1">
        <f>SPS2_SOC_High!F2</f>
        <v>301.55156848449508</v>
      </c>
      <c r="D14" s="1">
        <f>SPS2_SOC_High!G2</f>
        <v>298.76897526775628</v>
      </c>
      <c r="E14" s="1">
        <f>SPS2_SOC_High!H2</f>
        <v>338.20472514871244</v>
      </c>
      <c r="F14" s="1">
        <f>SPS2_SOC_High!I2</f>
        <v>444.85985993495387</v>
      </c>
      <c r="G14" s="1">
        <f>SPS2_SOC_High!J2</f>
        <v>434.69204042489844</v>
      </c>
      <c r="H14" s="1">
        <f>SPS2_SOC_High!K2</f>
        <v>554.38619095621709</v>
      </c>
    </row>
    <row r="15" spans="2:8" x14ac:dyDescent="0.35">
      <c r="B15" s="25" t="s">
        <v>19</v>
      </c>
      <c r="C15" s="1">
        <f>SPS2_SOC_High!F20</f>
        <v>781.77729874866941</v>
      </c>
      <c r="D15" s="1">
        <f>SPS2_SOC_High!G20</f>
        <v>700.48164129084591</v>
      </c>
      <c r="E15" s="1">
        <f>SPS2_SOC_High!H20</f>
        <v>650.19265407962757</v>
      </c>
      <c r="F15" s="1">
        <f>SPS2_SOC_High!I20</f>
        <v>500.05516870101371</v>
      </c>
      <c r="G15" s="1">
        <f>SPS2_SOC_High!J20</f>
        <v>388.91042133923401</v>
      </c>
      <c r="H15" s="1">
        <f>SPS2_SOC_High!K20</f>
        <v>216.71912988178249</v>
      </c>
    </row>
    <row r="16" spans="2:8" x14ac:dyDescent="0.35">
      <c r="B16" s="25" t="s">
        <v>24</v>
      </c>
      <c r="C16" s="1">
        <f>SPS2_SOC_High!F57</f>
        <v>117.17025668577485</v>
      </c>
      <c r="D16" s="1">
        <f>SPS2_SOC_High!G57</f>
        <v>34.90251893488643</v>
      </c>
      <c r="E16" s="1">
        <f>SPS2_SOC_High!H57</f>
        <v>71.952545708917654</v>
      </c>
      <c r="F16" s="1">
        <f>SPS2_SOC_High!I57</f>
        <v>52.700913642029796</v>
      </c>
      <c r="G16" s="1">
        <f>SPS2_SOC_High!J57</f>
        <v>32.658380894783491</v>
      </c>
      <c r="H16" s="1">
        <f>SPS2_SOC_High!K57</f>
        <v>29.571792141102748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EEA8F75B-7F13-4486-8CE5-DF2C2F3DB7B6}"/>
</file>

<file path=customXml/itemProps2.xml><?xml version="1.0" encoding="utf-8"?>
<ds:datastoreItem xmlns:ds="http://schemas.openxmlformats.org/officeDocument/2006/customXml" ds:itemID="{DBC82361-A1E3-4295-8EB7-DD848190D720}"/>
</file>

<file path=customXml/itemProps3.xml><?xml version="1.0" encoding="utf-8"?>
<ds:datastoreItem xmlns:ds="http://schemas.openxmlformats.org/officeDocument/2006/customXml" ds:itemID="{DDC54F1D-BE16-4558-A03C-ABB3684BC23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SPS2_SOC_High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