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2EA3D7DA-86DC-4E7E-A99F-7F78D8FA5B9C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2_SOC_Low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SPS2_SOC_Low!$A$1:$K$2232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31" i="1" a="1"/>
  <c r="I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G1100" i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I925" i="1" s="1"/>
  <c r="I924" i="1" s="1"/>
  <c r="H896" i="1" a="1"/>
  <c r="H896" i="1" s="1"/>
  <c r="G896" i="1" a="1"/>
  <c r="G896" i="1" s="1"/>
  <c r="F896" i="1" a="1"/>
  <c r="F896" i="1" s="1"/>
  <c r="F895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H284" i="1" a="1"/>
  <c r="H284" i="1" s="1"/>
  <c r="H283" i="1" s="1"/>
  <c r="G284" i="1" a="1"/>
  <c r="G284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G398" i="1" s="1"/>
  <c r="G439" i="1" s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I384" i="1" s="1"/>
  <c r="I515" i="1" s="1"/>
  <c r="H156" i="1"/>
  <c r="G156" i="1"/>
  <c r="G384" i="1" s="1"/>
  <c r="G515" i="1" s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H129" i="1" s="1"/>
  <c r="G97" i="1"/>
  <c r="G129" i="1" s="1"/>
  <c r="F97" i="1"/>
  <c r="F129" i="1" s="1"/>
  <c r="I96" i="1"/>
  <c r="I128" i="1" s="1"/>
  <c r="H96" i="1"/>
  <c r="G96" i="1"/>
  <c r="G128" i="1" s="1"/>
  <c r="F96" i="1"/>
  <c r="I95" i="1"/>
  <c r="H95" i="1"/>
  <c r="G95" i="1"/>
  <c r="F95" i="1"/>
  <c r="I94" i="1"/>
  <c r="I126" i="1" s="1"/>
  <c r="H94" i="1"/>
  <c r="G94" i="1"/>
  <c r="G126" i="1" s="1"/>
  <c r="F94" i="1"/>
  <c r="I93" i="1"/>
  <c r="I125" i="1" s="1"/>
  <c r="H93" i="1"/>
  <c r="G93" i="1"/>
  <c r="G125" i="1" s="1"/>
  <c r="F93" i="1"/>
  <c r="I92" i="1"/>
  <c r="I124" i="1" s="1"/>
  <c r="H92" i="1"/>
  <c r="H124" i="1" s="1"/>
  <c r="G92" i="1"/>
  <c r="G124" i="1" s="1"/>
  <c r="F92" i="1"/>
  <c r="F124" i="1" s="1"/>
  <c r="I91" i="1"/>
  <c r="I123" i="1" s="1"/>
  <c r="H91" i="1"/>
  <c r="H123" i="1" s="1"/>
  <c r="G91" i="1"/>
  <c r="G123" i="1" s="1"/>
  <c r="F91" i="1"/>
  <c r="F123" i="1" s="1"/>
  <c r="I90" i="1"/>
  <c r="I122" i="1" s="1"/>
  <c r="H90" i="1"/>
  <c r="H122" i="1" s="1"/>
  <c r="G90" i="1"/>
  <c r="G122" i="1" s="1"/>
  <c r="F90" i="1"/>
  <c r="F122" i="1" s="1"/>
  <c r="I89" i="1"/>
  <c r="I121" i="1" s="1"/>
  <c r="H89" i="1"/>
  <c r="G89" i="1"/>
  <c r="G121" i="1" s="1"/>
  <c r="F89" i="1"/>
  <c r="I88" i="1"/>
  <c r="I120" i="1" s="1"/>
  <c r="H88" i="1"/>
  <c r="G88" i="1"/>
  <c r="G120" i="1" s="1"/>
  <c r="F88" i="1"/>
  <c r="I87" i="1"/>
  <c r="I119" i="1" s="1"/>
  <c r="H87" i="1"/>
  <c r="H119" i="1" s="1"/>
  <c r="G87" i="1"/>
  <c r="G119" i="1" s="1"/>
  <c r="F87" i="1"/>
  <c r="F119" i="1" s="1"/>
  <c r="I86" i="1"/>
  <c r="I118" i="1" s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F323" i="1" l="1"/>
  <c r="F478" i="1" s="1"/>
  <c r="H363" i="1"/>
  <c r="H504" i="1" s="1"/>
  <c r="I319" i="1"/>
  <c r="G380" i="1"/>
  <c r="G437" i="1" s="1"/>
  <c r="I241" i="1"/>
  <c r="F324" i="1"/>
  <c r="F479" i="1" s="1"/>
  <c r="F399" i="1"/>
  <c r="F519" i="1" s="1"/>
  <c r="F314" i="1"/>
  <c r="F419" i="1" s="1"/>
  <c r="G361" i="1"/>
  <c r="G428" i="1" s="1"/>
  <c r="H324" i="1"/>
  <c r="H479" i="1" s="1"/>
  <c r="H361" i="1"/>
  <c r="H428" i="1" s="1"/>
  <c r="G300" i="1"/>
  <c r="G413" i="1" s="1"/>
  <c r="H300" i="1"/>
  <c r="H413" i="1" s="1"/>
  <c r="H322" i="1"/>
  <c r="H477" i="1" s="1"/>
  <c r="G315" i="1"/>
  <c r="G420" i="1" s="1"/>
  <c r="G325" i="1"/>
  <c r="G480" i="1" s="1"/>
  <c r="F128" i="1"/>
  <c r="F322" i="1"/>
  <c r="F477" i="1" s="1"/>
  <c r="F321" i="1"/>
  <c r="F476" i="1" s="1"/>
  <c r="I361" i="1"/>
  <c r="I428" i="1" s="1"/>
  <c r="H319" i="1"/>
  <c r="H474" i="1" s="1"/>
  <c r="I321" i="1"/>
  <c r="I476" i="1" s="1"/>
  <c r="H386" i="1"/>
  <c r="H517" i="1" s="1"/>
  <c r="H321" i="1"/>
  <c r="H476" i="1" s="1"/>
  <c r="H128" i="1"/>
  <c r="H314" i="1"/>
  <c r="H419" i="1" s="1"/>
  <c r="F300" i="1"/>
  <c r="F413" i="1" s="1"/>
  <c r="I300" i="1"/>
  <c r="I413" i="1" s="1"/>
  <c r="F319" i="1"/>
  <c r="F474" i="1" s="1"/>
  <c r="G364" i="1"/>
  <c r="G301" i="1"/>
  <c r="G465" i="1" s="1"/>
  <c r="F385" i="1"/>
  <c r="F516" i="1" s="1"/>
  <c r="H325" i="1"/>
  <c r="H480" i="1" s="1"/>
  <c r="I325" i="1"/>
  <c r="I480" i="1" s="1"/>
  <c r="F301" i="1"/>
  <c r="F465" i="1" s="1"/>
  <c r="I301" i="1"/>
  <c r="I465" i="1" s="1"/>
  <c r="H399" i="1"/>
  <c r="H519" i="1" s="1"/>
  <c r="G324" i="1"/>
  <c r="G479" i="1" s="1"/>
  <c r="F386" i="1"/>
  <c r="F517" i="1" s="1"/>
  <c r="F364" i="1"/>
  <c r="G400" i="1"/>
  <c r="G520" i="1" s="1"/>
  <c r="G385" i="1"/>
  <c r="G516" i="1" s="1"/>
  <c r="F317" i="1"/>
  <c r="F472" i="1" s="1"/>
  <c r="I400" i="1"/>
  <c r="I520" i="1" s="1"/>
  <c r="I315" i="1"/>
  <c r="I420" i="1" s="1"/>
  <c r="G903" i="1"/>
  <c r="G925" i="1"/>
  <c r="G924" i="1" s="1"/>
  <c r="H925" i="1"/>
  <c r="H924" i="1" s="1"/>
  <c r="H903" i="1"/>
  <c r="I383" i="1"/>
  <c r="I514" i="1" s="1"/>
  <c r="I283" i="1"/>
  <c r="G363" i="1"/>
  <c r="G504" i="1" s="1"/>
  <c r="I364" i="1"/>
  <c r="G283" i="1"/>
  <c r="G383" i="1"/>
  <c r="G514" i="1" s="1"/>
  <c r="G382" i="1"/>
  <c r="G513" i="1" s="1"/>
  <c r="H301" i="1"/>
  <c r="H465" i="1" s="1"/>
  <c r="H323" i="1"/>
  <c r="H478" i="1" s="1"/>
  <c r="H315" i="1"/>
  <c r="H420" i="1" s="1"/>
  <c r="G323" i="1"/>
  <c r="G478" i="1" s="1"/>
  <c r="I323" i="1"/>
  <c r="I478" i="1" s="1"/>
  <c r="F400" i="1"/>
  <c r="F520" i="1" s="1"/>
  <c r="F384" i="1"/>
  <c r="F515" i="1" s="1"/>
  <c r="F398" i="1"/>
  <c r="F439" i="1" s="1"/>
  <c r="I316" i="1"/>
  <c r="I471" i="1" s="1"/>
  <c r="I317" i="1"/>
  <c r="I472" i="1" s="1"/>
  <c r="F383" i="1"/>
  <c r="F514" i="1" s="1"/>
  <c r="H384" i="1"/>
  <c r="H515" i="1" s="1"/>
  <c r="H398" i="1"/>
  <c r="H439" i="1" s="1"/>
  <c r="F318" i="1"/>
  <c r="F473" i="1" s="1"/>
  <c r="F362" i="1"/>
  <c r="F429" i="1" s="1"/>
  <c r="F380" i="1"/>
  <c r="F437" i="1" s="1"/>
  <c r="I382" i="1"/>
  <c r="I513" i="1" s="1"/>
  <c r="G362" i="1"/>
  <c r="G429" i="1" s="1"/>
  <c r="G399" i="1"/>
  <c r="G519" i="1" s="1"/>
  <c r="G320" i="1"/>
  <c r="G475" i="1" s="1"/>
  <c r="I398" i="1"/>
  <c r="I439" i="1" s="1"/>
  <c r="H380" i="1"/>
  <c r="H437" i="1" s="1"/>
  <c r="H385" i="1"/>
  <c r="H516" i="1" s="1"/>
  <c r="H320" i="1"/>
  <c r="H475" i="1" s="1"/>
  <c r="I380" i="1"/>
  <c r="I437" i="1" s="1"/>
  <c r="I385" i="1"/>
  <c r="I516" i="1" s="1"/>
  <c r="I399" i="1"/>
  <c r="I519" i="1" s="1"/>
  <c r="I320" i="1"/>
  <c r="I475" i="1" s="1"/>
  <c r="F241" i="1"/>
  <c r="F316" i="1" s="1"/>
  <c r="F471" i="1" s="1"/>
  <c r="F363" i="1"/>
  <c r="F504" i="1" s="1"/>
  <c r="G321" i="1"/>
  <c r="G476" i="1" s="1"/>
  <c r="G899" i="1"/>
  <c r="G386" i="1"/>
  <c r="G517" i="1" s="1"/>
  <c r="H241" i="1"/>
  <c r="H316" i="1" s="1"/>
  <c r="H471" i="1" s="1"/>
  <c r="H400" i="1"/>
  <c r="H520" i="1" s="1"/>
  <c r="G322" i="1"/>
  <c r="G477" i="1" s="1"/>
  <c r="H899" i="1"/>
  <c r="I386" i="1"/>
  <c r="I517" i="1" s="1"/>
  <c r="I322" i="1"/>
  <c r="I477" i="1" s="1"/>
  <c r="H317" i="1"/>
  <c r="H472" i="1" s="1"/>
  <c r="H364" i="1"/>
  <c r="H382" i="1"/>
  <c r="H513" i="1" s="1"/>
  <c r="F786" i="1"/>
  <c r="F787" i="1" s="1"/>
  <c r="F783" i="1"/>
  <c r="G786" i="1"/>
  <c r="G787" i="1" s="1"/>
  <c r="G783" i="1"/>
  <c r="H786" i="1"/>
  <c r="H787" i="1" s="1"/>
  <c r="H783" i="1"/>
  <c r="I742" i="1" a="1"/>
  <c r="I742" i="1" s="1"/>
  <c r="I744" i="1" s="1" a="1"/>
  <c r="I744" i="1" s="1"/>
  <c r="I726" i="1" a="1"/>
  <c r="I726" i="1" s="1"/>
  <c r="I728" i="1" s="1" a="1"/>
  <c r="I728" i="1" s="1"/>
  <c r="I783" i="1"/>
  <c r="I786" i="1"/>
  <c r="I787" i="1" s="1"/>
  <c r="G317" i="1"/>
  <c r="G472" i="1" s="1"/>
  <c r="G241" i="1"/>
  <c r="G316" i="1" s="1"/>
  <c r="G471" i="1" s="1"/>
  <c r="F742" i="1" a="1"/>
  <c r="F742" i="1" s="1"/>
  <c r="F744" i="1" s="1" a="1"/>
  <c r="F744" i="1" s="1"/>
  <c r="F726" i="1" a="1"/>
  <c r="F726" i="1" s="1"/>
  <c r="F728" i="1" s="1" a="1"/>
  <c r="F728" i="1" s="1"/>
  <c r="I363" i="1"/>
  <c r="I504" i="1" s="1"/>
  <c r="G742" i="1" a="1"/>
  <c r="G742" i="1" s="1"/>
  <c r="G744" i="1" s="1" a="1"/>
  <c r="G744" i="1" s="1"/>
  <c r="G726" i="1" a="1"/>
  <c r="G726" i="1" s="1"/>
  <c r="G728" i="1" s="1" a="1"/>
  <c r="G728" i="1" s="1"/>
  <c r="F382" i="1"/>
  <c r="F513" i="1" s="1"/>
  <c r="H742" i="1" a="1"/>
  <c r="H742" i="1" s="1"/>
  <c r="H744" i="1" s="1" a="1"/>
  <c r="H744" i="1" s="1"/>
  <c r="H726" i="1" a="1"/>
  <c r="H726" i="1" s="1"/>
  <c r="H728" i="1" s="1" a="1"/>
  <c r="H728" i="1" s="1"/>
  <c r="F899" i="1"/>
  <c r="F902" i="1"/>
  <c r="I899" i="1"/>
  <c r="F120" i="1"/>
  <c r="F125" i="1"/>
  <c r="F361" i="1"/>
  <c r="F428" i="1" s="1"/>
  <c r="H318" i="1"/>
  <c r="H473" i="1" s="1"/>
  <c r="I318" i="1"/>
  <c r="I473" i="1" s="1"/>
  <c r="G902" i="1"/>
  <c r="H120" i="1"/>
  <c r="H125" i="1"/>
  <c r="H902" i="1"/>
  <c r="H121" i="1"/>
  <c r="H126" i="1"/>
  <c r="G141" i="1" a="1"/>
  <c r="G141" i="1" s="1"/>
  <c r="H362" i="1"/>
  <c r="H429" i="1" s="1"/>
  <c r="I902" i="1"/>
  <c r="G318" i="1"/>
  <c r="G473" i="1" s="1"/>
  <c r="F121" i="1"/>
  <c r="F126" i="1"/>
  <c r="G314" i="1"/>
  <c r="G419" i="1" s="1"/>
  <c r="G319" i="1"/>
  <c r="G474" i="1" s="1"/>
  <c r="I314" i="1"/>
  <c r="I419" i="1" s="1"/>
  <c r="I324" i="1"/>
  <c r="I479" i="1" s="1"/>
  <c r="I362" i="1"/>
  <c r="I429" i="1" s="1"/>
  <c r="F903" i="1"/>
  <c r="F315" i="1"/>
  <c r="F420" i="1" s="1"/>
  <c r="F320" i="1"/>
  <c r="F475" i="1" s="1"/>
  <c r="F325" i="1"/>
  <c r="F480" i="1" s="1"/>
  <c r="H383" i="1"/>
  <c r="H514" i="1" s="1"/>
  <c r="I903" i="1"/>
  <c r="F925" i="1"/>
  <c r="F924" i="1" s="1"/>
  <c r="I310" i="1" l="1"/>
  <c r="I474" i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K1693" i="1" a="1"/>
  <c r="K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K2174" i="1" a="1"/>
  <c r="K2174" i="1" s="1"/>
  <c r="K2175" i="1" a="1"/>
  <c r="K2175" i="1" s="1"/>
  <c r="L2176" i="1" a="1"/>
  <c r="L2176" i="1" s="1"/>
  <c r="K2176" i="1" a="1"/>
  <c r="K2176" i="1" s="1"/>
  <c r="L2179" i="1" a="1"/>
  <c r="L2179" i="1" s="1"/>
  <c r="J2179" i="1" a="1"/>
  <c r="J2179" i="1" s="1"/>
  <c r="J2175" i="1" a="1"/>
  <c r="J2175" i="1" s="1"/>
  <c r="L2177" i="1" a="1"/>
  <c r="L2177" i="1" s="1"/>
  <c r="K2182" i="1" a="1"/>
  <c r="K2182" i="1" s="1"/>
  <c r="K2179" i="1" a="1"/>
  <c r="K2179" i="1" s="1"/>
  <c r="K2181" i="1" a="1"/>
  <c r="K2181" i="1" s="1"/>
  <c r="J2182" i="1" a="1"/>
  <c r="J2182" i="1" s="1"/>
  <c r="L2180" i="1" a="1"/>
  <c r="L2180" i="1" s="1"/>
  <c r="J2178" i="1" a="1"/>
  <c r="J2178" i="1" s="1"/>
  <c r="L2175" i="1" a="1"/>
  <c r="L2175" i="1" s="1"/>
  <c r="K2180" i="1" a="1"/>
  <c r="K2180" i="1" s="1"/>
  <c r="J2176" i="1" a="1"/>
  <c r="J2176" i="1" s="1"/>
  <c r="J2181" i="1" a="1"/>
  <c r="J2181" i="1" s="1"/>
  <c r="J2177" i="1" a="1"/>
  <c r="J2177" i="1" s="1"/>
  <c r="J2174" i="1" a="1"/>
  <c r="J2174" i="1" s="1"/>
  <c r="L2174" i="1" a="1"/>
  <c r="L2174" i="1" s="1"/>
  <c r="J2180" i="1" a="1"/>
  <c r="J2180" i="1" s="1"/>
  <c r="K2178" i="1" a="1"/>
  <c r="K2178" i="1" s="1"/>
  <c r="L2181" i="1" a="1"/>
  <c r="L2181" i="1" s="1"/>
  <c r="K2177" i="1" a="1"/>
  <c r="K2177" i="1" s="1"/>
  <c r="L2178" i="1" a="1"/>
  <c r="L2178" i="1" s="1"/>
  <c r="K2164" i="1" a="1"/>
  <c r="K2164" i="1" s="1"/>
  <c r="L2166" i="1" a="1"/>
  <c r="L2166" i="1" s="1"/>
  <c r="K2168" i="1" a="1"/>
  <c r="K2168" i="1" s="1"/>
  <c r="L2173" i="1" a="1"/>
  <c r="L2173" i="1" s="1"/>
  <c r="J2166" i="1" a="1"/>
  <c r="J2166" i="1" s="1"/>
  <c r="K2173" i="1" a="1"/>
  <c r="K2173" i="1" s="1"/>
  <c r="J2173" i="1" a="1"/>
  <c r="J2173" i="1" s="1"/>
  <c r="J2168" i="1" a="1"/>
  <c r="J2168" i="1" s="1"/>
  <c r="L2169" i="1" a="1"/>
  <c r="L2169" i="1" s="1"/>
  <c r="L2172" i="1" a="1"/>
  <c r="L2172" i="1" s="1"/>
  <c r="J2170" i="1" a="1"/>
  <c r="J2170" i="1" s="1"/>
  <c r="L2168" i="1" a="1"/>
  <c r="L2168" i="1" s="1"/>
  <c r="L2167" i="1" a="1"/>
  <c r="L2167" i="1" s="1"/>
  <c r="K2172" i="1" a="1"/>
  <c r="K2172" i="1" s="1"/>
  <c r="J2172" i="1" a="1"/>
  <c r="J2172" i="1" s="1"/>
  <c r="J2167" i="1" a="1"/>
  <c r="J2167" i="1" s="1"/>
  <c r="J2171" i="1" a="1"/>
  <c r="J2171" i="1" s="1"/>
  <c r="K2166" i="1" a="1"/>
  <c r="K2166" i="1" s="1"/>
  <c r="K2169" i="1" a="1"/>
  <c r="K2169" i="1" s="1"/>
  <c r="L2164" i="1" a="1"/>
  <c r="L2164" i="1" s="1"/>
  <c r="L2171" i="1" a="1"/>
  <c r="L2171" i="1" s="1"/>
  <c r="K2171" i="1" a="1"/>
  <c r="K2171" i="1" s="1"/>
  <c r="L2170" i="1" a="1"/>
  <c r="L2170" i="1" s="1"/>
  <c r="K2170" i="1" a="1"/>
  <c r="K2170" i="1" s="1"/>
  <c r="K2167" i="1" a="1"/>
  <c r="K2167" i="1" s="1"/>
  <c r="J2169" i="1" a="1"/>
  <c r="J2169" i="1" s="1"/>
  <c r="K2159" i="1" a="1"/>
  <c r="K2159" i="1" s="1"/>
  <c r="K2158" i="1" a="1"/>
  <c r="K2158" i="1" s="1"/>
  <c r="J2158" i="1" a="1"/>
  <c r="J2158" i="1" s="1"/>
  <c r="L2157" i="1" a="1"/>
  <c r="L2157" i="1" s="1"/>
  <c r="L2159" i="1" a="1"/>
  <c r="L2159" i="1" s="1"/>
  <c r="J2160" i="1" a="1"/>
  <c r="J2160" i="1" s="1"/>
  <c r="J2161" i="1" a="1"/>
  <c r="J2161" i="1" s="1"/>
  <c r="J2155" i="1" a="1"/>
  <c r="J2155" i="1" s="1"/>
  <c r="J2164" i="1" a="1"/>
  <c r="J2164" i="1" s="1"/>
  <c r="K2162" i="1" a="1"/>
  <c r="K2162" i="1" s="1"/>
  <c r="L2161" i="1" a="1"/>
  <c r="L2161" i="1" s="1"/>
  <c r="L2156" i="1" a="1"/>
  <c r="L2156" i="1" s="1"/>
  <c r="K2157" i="1" a="1"/>
  <c r="K2157" i="1" s="1"/>
  <c r="L2163" i="1" a="1"/>
  <c r="L2163" i="1" s="1"/>
  <c r="K2163" i="1" a="1"/>
  <c r="K2163" i="1" s="1"/>
  <c r="K2155" i="1" a="1"/>
  <c r="K2155" i="1" s="1"/>
  <c r="J2163" i="1" a="1"/>
  <c r="J2163" i="1" s="1"/>
  <c r="J2159" i="1" a="1"/>
  <c r="J2159" i="1" s="1"/>
  <c r="J2157" i="1" a="1"/>
  <c r="J2157" i="1" s="1"/>
  <c r="L2162" i="1" a="1"/>
  <c r="L2162" i="1" s="1"/>
  <c r="L2160" i="1" a="1"/>
  <c r="L2160" i="1" s="1"/>
  <c r="K2160" i="1" a="1"/>
  <c r="K2160" i="1" s="1"/>
  <c r="J2156" i="1" a="1"/>
  <c r="J2156" i="1" s="1"/>
  <c r="J2162" i="1" a="1"/>
  <c r="J2162" i="1" s="1"/>
  <c r="L2158" i="1" a="1"/>
  <c r="L2158" i="1" s="1"/>
  <c r="L2155" i="1" a="1"/>
  <c r="L2155" i="1" s="1"/>
  <c r="K2156" i="1" a="1"/>
  <c r="K2156" i="1" s="1"/>
  <c r="K2161" i="1" a="1"/>
  <c r="K2161" i="1" s="1"/>
  <c r="J2150" i="1" a="1"/>
  <c r="J2150" i="1" s="1"/>
  <c r="J2151" i="1" a="1"/>
  <c r="J2151" i="1" s="1"/>
  <c r="L2149" i="1" a="1"/>
  <c r="L2149" i="1" s="1"/>
  <c r="K2153" i="1" a="1"/>
  <c r="K2153" i="1" s="1"/>
  <c r="L2151" i="1" a="1"/>
  <c r="L2151" i="1" s="1"/>
  <c r="K2149" i="1" a="1"/>
  <c r="K2149" i="1" s="1"/>
  <c r="L2154" i="1" a="1"/>
  <c r="L2154" i="1" s="1"/>
  <c r="K2154" i="1" a="1"/>
  <c r="K2154" i="1" s="1"/>
  <c r="J2154" i="1" a="1"/>
  <c r="J2154" i="1" s="1"/>
  <c r="L2148" i="1" a="1"/>
  <c r="L2148" i="1" s="1"/>
  <c r="J2147" i="1" a="1"/>
  <c r="J2147" i="1" s="1"/>
  <c r="K2150" i="1" a="1"/>
  <c r="K2150" i="1" s="1"/>
  <c r="L2153" i="1" a="1"/>
  <c r="L2153" i="1" s="1"/>
  <c r="L2152" i="1" a="1"/>
  <c r="L2152" i="1" s="1"/>
  <c r="K2147" i="1" a="1"/>
  <c r="K2147" i="1" s="1"/>
  <c r="L2150" i="1" a="1"/>
  <c r="L2150" i="1" s="1"/>
  <c r="K2148" i="1" a="1"/>
  <c r="K2148" i="1" s="1"/>
  <c r="J2148" i="1" a="1"/>
  <c r="J2148" i="1" s="1"/>
  <c r="L2147" i="1" a="1"/>
  <c r="L2147" i="1" s="1"/>
  <c r="K2152" i="1" a="1"/>
  <c r="K2152" i="1" s="1"/>
  <c r="J2152" i="1" a="1"/>
  <c r="J2152" i="1" s="1"/>
  <c r="K2151" i="1" a="1"/>
  <c r="K2151" i="1" s="1"/>
  <c r="J2149" i="1" a="1"/>
  <c r="J2149" i="1" s="1"/>
  <c r="J2153" i="1" a="1"/>
  <c r="J2153" i="1" s="1"/>
  <c r="L2146" i="1" a="1"/>
  <c r="L2146" i="1" s="1"/>
  <c r="J2139" i="1" a="1"/>
  <c r="J2139" i="1" s="1"/>
  <c r="L2142" i="1" a="1"/>
  <c r="L2142" i="1" s="1"/>
  <c r="J2140" i="1" a="1"/>
  <c r="J2140" i="1" s="1"/>
  <c r="K2138" i="1" a="1"/>
  <c r="K2138" i="1" s="1"/>
  <c r="L2143" i="1" a="1"/>
  <c r="L2143" i="1" s="1"/>
  <c r="J2142" i="1" a="1"/>
  <c r="J2142" i="1" s="1"/>
  <c r="J2146" i="1" a="1"/>
  <c r="J2146" i="1" s="1"/>
  <c r="L2141" i="1" a="1"/>
  <c r="L2141" i="1" s="1"/>
  <c r="K2141" i="1" a="1"/>
  <c r="K2141" i="1" s="1"/>
  <c r="K2137" i="1" a="1"/>
  <c r="K2137" i="1" s="1"/>
  <c r="L2140" i="1" a="1"/>
  <c r="L2140" i="1" s="1"/>
  <c r="K2143" i="1" a="1"/>
  <c r="K2143" i="1" s="1"/>
  <c r="K2144" i="1" a="1"/>
  <c r="K2144" i="1" s="1"/>
  <c r="L2145" i="1" a="1"/>
  <c r="L2145" i="1" s="1"/>
  <c r="K2146" i="1" a="1"/>
  <c r="K2146" i="1" s="1"/>
  <c r="K2142" i="1" a="1"/>
  <c r="K2142" i="1" s="1"/>
  <c r="L2144" i="1" a="1"/>
  <c r="L2144" i="1" s="1"/>
  <c r="K2145" i="1" a="1"/>
  <c r="K2145" i="1" s="1"/>
  <c r="J2145" i="1" a="1"/>
  <c r="J2145" i="1" s="1"/>
  <c r="J2138" i="1" a="1"/>
  <c r="J2138" i="1" s="1"/>
  <c r="J2141" i="1" a="1"/>
  <c r="J2141" i="1" s="1"/>
  <c r="J2144" i="1" a="1"/>
  <c r="J2144" i="1" s="1"/>
  <c r="L2139" i="1" a="1"/>
  <c r="L2139" i="1" s="1"/>
  <c r="L2138" i="1" a="1"/>
  <c r="L2138" i="1" s="1"/>
  <c r="L2137" i="1" a="1"/>
  <c r="L2137" i="1" s="1"/>
  <c r="J2143" i="1" a="1"/>
  <c r="J2143" i="1" s="1"/>
  <c r="K2140" i="1" a="1"/>
  <c r="K2140" i="1" s="1"/>
  <c r="K2139" i="1" a="1"/>
  <c r="K2139" i="1" s="1"/>
  <c r="L2130" i="1" a="1"/>
  <c r="L2130" i="1" s="1"/>
  <c r="J2132" i="1" a="1"/>
  <c r="J2132" i="1" s="1"/>
  <c r="J2135" i="1" a="1"/>
  <c r="J2135" i="1" s="1"/>
  <c r="L2129" i="1" a="1"/>
  <c r="L2129" i="1" s="1"/>
  <c r="K2133" i="1" a="1"/>
  <c r="K2133" i="1" s="1"/>
  <c r="J2128" i="1" a="1"/>
  <c r="J2128" i="1" s="1"/>
  <c r="L2131" i="1" a="1"/>
  <c r="L2131" i="1" s="1"/>
  <c r="J2136" i="1" a="1"/>
  <c r="J2136" i="1" s="1"/>
  <c r="J2133" i="1" a="1"/>
  <c r="J2133" i="1" s="1"/>
  <c r="J2130" i="1" a="1"/>
  <c r="J2130" i="1" s="1"/>
  <c r="L2136" i="1" a="1"/>
  <c r="L2136" i="1" s="1"/>
  <c r="L2135" i="1" a="1"/>
  <c r="L2135" i="1" s="1"/>
  <c r="K2135" i="1" a="1"/>
  <c r="K2135" i="1" s="1"/>
  <c r="J2131" i="1" a="1"/>
  <c r="J2131" i="1" s="1"/>
  <c r="J2129" i="1" a="1"/>
  <c r="J2129" i="1" s="1"/>
  <c r="K2128" i="1" a="1"/>
  <c r="K2128" i="1" s="1"/>
  <c r="L2134" i="1" a="1"/>
  <c r="L2134" i="1" s="1"/>
  <c r="K2130" i="1" a="1"/>
  <c r="K2130" i="1" s="1"/>
  <c r="L2128" i="1" a="1"/>
  <c r="L2128" i="1" s="1"/>
  <c r="K2136" i="1" a="1"/>
  <c r="K2136" i="1" s="1"/>
  <c r="J2134" i="1" a="1"/>
  <c r="J2134" i="1" s="1"/>
  <c r="K2134" i="1" a="1"/>
  <c r="K2134" i="1" s="1"/>
  <c r="L2132" i="1" a="1"/>
  <c r="L2132" i="1" s="1"/>
  <c r="K2132" i="1" a="1"/>
  <c r="K2132" i="1" s="1"/>
  <c r="K2131" i="1" a="1"/>
  <c r="K2131" i="1" s="1"/>
  <c r="L2133" i="1" a="1"/>
  <c r="L2133" i="1" s="1"/>
  <c r="J2137" i="1" a="1"/>
  <c r="J2137" i="1" s="1"/>
  <c r="K2129" i="1" a="1"/>
  <c r="K2129" i="1" s="1"/>
  <c r="L2119" i="1" a="1"/>
  <c r="L2119" i="1" s="1"/>
  <c r="J2123" i="1" a="1"/>
  <c r="J2123" i="1" s="1"/>
  <c r="K2127" i="1" a="1"/>
  <c r="K2127" i="1" s="1"/>
  <c r="J2122" i="1" a="1"/>
  <c r="J2122" i="1" s="1"/>
  <c r="J2127" i="1" a="1"/>
  <c r="J2127" i="1" s="1"/>
  <c r="L2123" i="1" a="1"/>
  <c r="L2123" i="1" s="1"/>
  <c r="J2126" i="1" a="1"/>
  <c r="J2126" i="1" s="1"/>
  <c r="J2119" i="1" a="1"/>
  <c r="J2119" i="1" s="1"/>
  <c r="J2125" i="1" a="1"/>
  <c r="J2125" i="1" s="1"/>
  <c r="K2125" i="1" a="1"/>
  <c r="K2125" i="1" s="1"/>
  <c r="K2124" i="1" a="1"/>
  <c r="K2124" i="1" s="1"/>
  <c r="J2121" i="1" a="1"/>
  <c r="J2121" i="1" s="1"/>
  <c r="L2122" i="1" a="1"/>
  <c r="L2122" i="1" s="1"/>
  <c r="K2121" i="1" a="1"/>
  <c r="K2121" i="1" s="1"/>
  <c r="K2122" i="1" a="1"/>
  <c r="K2122" i="1" s="1"/>
  <c r="K2119" i="1" a="1"/>
  <c r="K2119" i="1" s="1"/>
  <c r="K2120" i="1" a="1"/>
  <c r="K2120" i="1" s="1"/>
  <c r="L2121" i="1" a="1"/>
  <c r="L2121" i="1" s="1"/>
  <c r="L2125" i="1" a="1"/>
  <c r="L2125" i="1" s="1"/>
  <c r="L2126" i="1" a="1"/>
  <c r="L2126" i="1" s="1"/>
  <c r="J2124" i="1" a="1"/>
  <c r="J2124" i="1" s="1"/>
  <c r="J2120" i="1" a="1"/>
  <c r="J2120" i="1" s="1"/>
  <c r="L2120" i="1" a="1"/>
  <c r="L2120" i="1" s="1"/>
  <c r="L2127" i="1" a="1"/>
  <c r="L2127" i="1" s="1"/>
  <c r="L2124" i="1" a="1"/>
  <c r="L2124" i="1" s="1"/>
  <c r="K2126" i="1" a="1"/>
  <c r="K2126" i="1" s="1"/>
  <c r="K2123" i="1" a="1"/>
  <c r="K2123" i="1" s="1"/>
  <c r="L2118" i="1" a="1"/>
  <c r="L2118" i="1" s="1"/>
  <c r="K2118" i="1" a="1"/>
  <c r="K2118" i="1" s="1"/>
  <c r="L2117" i="1" a="1"/>
  <c r="L2117" i="1" s="1"/>
  <c r="J2116" i="1" a="1"/>
  <c r="J2116" i="1" s="1"/>
  <c r="J2118" i="1" a="1"/>
  <c r="J2118" i="1" s="1"/>
  <c r="J2117" i="1" a="1"/>
  <c r="J2117" i="1" s="1"/>
  <c r="K2117" i="1" a="1"/>
  <c r="K2117" i="1" s="1"/>
  <c r="J2115" i="1" a="1"/>
  <c r="J2115" i="1" s="1"/>
  <c r="K2115" i="1" a="1"/>
  <c r="K2115" i="1" s="1"/>
  <c r="K2116" i="1" a="1"/>
  <c r="K2116" i="1" s="1"/>
  <c r="L2115" i="1" a="1"/>
  <c r="L2115" i="1" s="1"/>
  <c r="L2116" i="1" a="1"/>
  <c r="L2116" i="1" s="1"/>
  <c r="J2232" i="1" a="1"/>
  <c r="J2232" i="1" s="1"/>
  <c r="L2232" i="1" a="1"/>
  <c r="L2232" i="1" s="1"/>
  <c r="L2231" i="1" a="1"/>
  <c r="L2231" i="1" s="1"/>
  <c r="K2231" i="1" a="1"/>
  <c r="K2231" i="1" s="1"/>
  <c r="K2232" i="1" a="1"/>
  <c r="K2232" i="1" s="1"/>
  <c r="J2231" i="1" a="1"/>
  <c r="J2231" i="1" s="1"/>
  <c r="L2229" i="1" a="1"/>
  <c r="L2229" i="1" s="1"/>
  <c r="L2230" i="1" s="1" a="1"/>
  <c r="L2230" i="1" s="1"/>
  <c r="K2221" i="1" a="1"/>
  <c r="K2221" i="1" s="1"/>
  <c r="J2224" i="1" a="1"/>
  <c r="J2224" i="1" s="1"/>
  <c r="J2225" i="1" s="1" a="1"/>
  <c r="J2225" i="1" s="1"/>
  <c r="K2222" i="1" a="1"/>
  <c r="K2222" i="1" s="1"/>
  <c r="L2226" i="1" a="1"/>
  <c r="L2226" i="1" s="1"/>
  <c r="L2221" i="1" a="1"/>
  <c r="L2221" i="1" s="1"/>
  <c r="J2227" i="1" a="1"/>
  <c r="J2227" i="1" s="1"/>
  <c r="J2228" i="1" s="1" a="1"/>
  <c r="J2228" i="1" s="1"/>
  <c r="K2224" i="1" a="1"/>
  <c r="K2224" i="1" s="1"/>
  <c r="K2225" i="1" s="1" a="1"/>
  <c r="K2225" i="1" s="1"/>
  <c r="K2227" i="1" a="1"/>
  <c r="K2227" i="1" s="1"/>
  <c r="K2228" i="1" s="1" a="1"/>
  <c r="K2228" i="1" s="1"/>
  <c r="J2226" i="1" a="1"/>
  <c r="J2226" i="1" s="1"/>
  <c r="K2226" i="1" a="1"/>
  <c r="K2226" i="1" s="1"/>
  <c r="K2229" i="1" a="1"/>
  <c r="K2229" i="1" s="1"/>
  <c r="K2230" i="1" s="1" a="1"/>
  <c r="K2230" i="1" s="1"/>
  <c r="J2229" i="1" a="1"/>
  <c r="J2229" i="1" s="1"/>
  <c r="J2230" i="1" s="1" a="1"/>
  <c r="J2230" i="1" s="1"/>
  <c r="L2222" i="1" a="1"/>
  <c r="L2222" i="1" s="1"/>
  <c r="J2221" i="1" a="1"/>
  <c r="J2221" i="1" s="1"/>
  <c r="L2227" i="1" a="1"/>
  <c r="L2227" i="1" s="1"/>
  <c r="L2228" i="1" s="1" a="1"/>
  <c r="L2228" i="1" s="1"/>
  <c r="J2222" i="1" a="1"/>
  <c r="J2222" i="1" s="1"/>
  <c r="L2224" i="1" a="1"/>
  <c r="L2224" i="1" s="1"/>
  <c r="L2225" i="1" s="1" a="1"/>
  <c r="L2225" i="1" s="1"/>
  <c r="K2212" i="1" a="1"/>
  <c r="K2212" i="1" s="1"/>
  <c r="K2214" i="1" a="1"/>
  <c r="K2214" i="1" s="1"/>
  <c r="K2215" i="1" s="1" a="1"/>
  <c r="K2215" i="1" s="1"/>
  <c r="J2212" i="1" a="1"/>
  <c r="J2212" i="1" s="1"/>
  <c r="L2217" i="1" a="1"/>
  <c r="L2217" i="1" s="1"/>
  <c r="L2218" i="1" s="1" a="1"/>
  <c r="L2218" i="1" s="1"/>
  <c r="L2216" i="1" a="1"/>
  <c r="L2216" i="1" s="1"/>
  <c r="J2217" i="1" a="1"/>
  <c r="J2217" i="1" s="1"/>
  <c r="J2218" i="1" s="1" a="1"/>
  <c r="J2218" i="1" s="1"/>
  <c r="J2211" i="1" a="1"/>
  <c r="J2211" i="1" s="1"/>
  <c r="J2216" i="1" a="1"/>
  <c r="J2216" i="1" s="1"/>
  <c r="L2210" i="1" a="1"/>
  <c r="L2210" i="1" s="1"/>
  <c r="K2216" i="1" a="1"/>
  <c r="K2216" i="1" s="1"/>
  <c r="J2219" i="1" a="1"/>
  <c r="J2219" i="1" s="1"/>
  <c r="J2220" i="1" s="1" a="1"/>
  <c r="J2220" i="1" s="1"/>
  <c r="J2214" i="1" a="1"/>
  <c r="J2214" i="1" s="1"/>
  <c r="J2215" i="1" s="1" a="1"/>
  <c r="J2215" i="1" s="1"/>
  <c r="K2219" i="1" a="1"/>
  <c r="K2219" i="1" s="1"/>
  <c r="K2220" i="1" s="1" a="1"/>
  <c r="K2220" i="1" s="1"/>
  <c r="L2211" i="1" a="1"/>
  <c r="L2211" i="1" s="1"/>
  <c r="L2214" i="1" a="1"/>
  <c r="L2214" i="1" s="1"/>
  <c r="L2215" i="1" s="1" a="1"/>
  <c r="L2215" i="1" s="1"/>
  <c r="K2210" i="1" a="1"/>
  <c r="K2210" i="1" s="1"/>
  <c r="K2217" i="1" a="1"/>
  <c r="K2217" i="1" s="1"/>
  <c r="K2218" i="1" s="1" a="1"/>
  <c r="K2218" i="1" s="1"/>
  <c r="K2211" i="1" a="1"/>
  <c r="K2211" i="1" s="1"/>
  <c r="L2212" i="1" a="1"/>
  <c r="L2212" i="1" s="1"/>
  <c r="L2219" i="1" a="1"/>
  <c r="L2219" i="1" s="1"/>
  <c r="L2220" i="1" s="1" a="1"/>
  <c r="L2220" i="1" s="1"/>
  <c r="J2207" i="1" a="1"/>
  <c r="J2207" i="1" s="1"/>
  <c r="L2203" i="1" a="1"/>
  <c r="L2203" i="1" s="1"/>
  <c r="L2204" i="1" a="1"/>
  <c r="L2204" i="1" s="1"/>
  <c r="K2203" i="1" a="1"/>
  <c r="K2203" i="1" s="1"/>
  <c r="J2204" i="1" a="1"/>
  <c r="J2204" i="1" s="1"/>
  <c r="J2209" i="1" a="1"/>
  <c r="J2209" i="1" s="1"/>
  <c r="K2205" i="1" a="1"/>
  <c r="K2205" i="1" s="1"/>
  <c r="L2209" i="1" a="1"/>
  <c r="L2209" i="1" s="1"/>
  <c r="K2209" i="1" a="1"/>
  <c r="K2209" i="1" s="1"/>
  <c r="L2202" i="1" a="1"/>
  <c r="L2202" i="1" s="1"/>
  <c r="J2201" i="1" a="1"/>
  <c r="J2201" i="1" s="1"/>
  <c r="L2208" i="1" a="1"/>
  <c r="L2208" i="1" s="1"/>
  <c r="K2208" i="1" a="1"/>
  <c r="K2208" i="1" s="1"/>
  <c r="K2201" i="1" a="1"/>
  <c r="K2201" i="1" s="1"/>
  <c r="K2206" i="1" a="1"/>
  <c r="K2206" i="1" s="1"/>
  <c r="J2208" i="1" a="1"/>
  <c r="J2208" i="1" s="1"/>
  <c r="L2207" i="1" a="1"/>
  <c r="L2207" i="1" s="1"/>
  <c r="K2204" i="1" a="1"/>
  <c r="K2204" i="1" s="1"/>
  <c r="K2207" i="1" a="1"/>
  <c r="K2207" i="1" s="1"/>
  <c r="J2203" i="1" a="1"/>
  <c r="J2203" i="1" s="1"/>
  <c r="L2206" i="1" a="1"/>
  <c r="L2206" i="1" s="1"/>
  <c r="J2205" i="1" a="1"/>
  <c r="J2205" i="1" s="1"/>
  <c r="K2202" i="1" a="1"/>
  <c r="K2202" i="1" s="1"/>
  <c r="J2210" i="1" a="1"/>
  <c r="J2210" i="1" s="1"/>
  <c r="L2205" i="1" a="1"/>
  <c r="L2205" i="1" s="1"/>
  <c r="J2206" i="1" a="1"/>
  <c r="J2206" i="1" s="1"/>
  <c r="L2201" i="1" a="1"/>
  <c r="L2201" i="1" s="1"/>
  <c r="J2202" i="1" a="1"/>
  <c r="J2202" i="1" s="1"/>
  <c r="K2193" i="1" a="1"/>
  <c r="K2193" i="1" s="1"/>
  <c r="L2195" i="1" a="1"/>
  <c r="L2195" i="1" s="1"/>
  <c r="K2195" i="1" a="1"/>
  <c r="K2195" i="1" s="1"/>
  <c r="K2200" i="1" a="1"/>
  <c r="K2200" i="1" s="1"/>
  <c r="L2196" i="1" a="1"/>
  <c r="L2196" i="1" s="1"/>
  <c r="K2194" i="1" a="1"/>
  <c r="K2194" i="1" s="1"/>
  <c r="K2196" i="1" a="1"/>
  <c r="K2196" i="1" s="1"/>
  <c r="K2198" i="1" a="1"/>
  <c r="K2198" i="1" s="1"/>
  <c r="J2195" i="1" a="1"/>
  <c r="J2195" i="1" s="1"/>
  <c r="L2200" i="1" a="1"/>
  <c r="L2200" i="1" s="1"/>
  <c r="J2193" i="1" a="1"/>
  <c r="J2193" i="1" s="1"/>
  <c r="J2196" i="1" a="1"/>
  <c r="J2196" i="1" s="1"/>
  <c r="J2200" i="1" a="1"/>
  <c r="J2200" i="1" s="1"/>
  <c r="L2199" i="1" a="1"/>
  <c r="L2199" i="1" s="1"/>
  <c r="K2199" i="1" a="1"/>
  <c r="K2199" i="1" s="1"/>
  <c r="J2194" i="1" a="1"/>
  <c r="J2194" i="1" s="1"/>
  <c r="J2199" i="1" a="1"/>
  <c r="J2199" i="1" s="1"/>
  <c r="L2198" i="1" a="1"/>
  <c r="L2198" i="1" s="1"/>
  <c r="J2198" i="1" a="1"/>
  <c r="J2198" i="1" s="1"/>
  <c r="K2192" i="1" a="1"/>
  <c r="K2192" i="1" s="1"/>
  <c r="K2197" i="1" a="1"/>
  <c r="K2197" i="1" s="1"/>
  <c r="L2192" i="1" a="1"/>
  <c r="L2192" i="1" s="1"/>
  <c r="L2197" i="1" a="1"/>
  <c r="L2197" i="1" s="1"/>
  <c r="J2197" i="1" a="1"/>
  <c r="J2197" i="1" s="1"/>
  <c r="L2194" i="1" a="1"/>
  <c r="L2194" i="1" s="1"/>
  <c r="L2193" i="1" a="1"/>
  <c r="L2193" i="1" s="1"/>
  <c r="J2191" i="1" a="1"/>
  <c r="J2191" i="1" s="1"/>
  <c r="K2186" i="1" a="1"/>
  <c r="K2186" i="1" s="1"/>
  <c r="L2183" i="1" a="1"/>
  <c r="L2183" i="1" s="1"/>
  <c r="J2192" i="1" a="1"/>
  <c r="J2192" i="1" s="1"/>
  <c r="K2190" i="1" a="1"/>
  <c r="K2190" i="1" s="1"/>
  <c r="J2185" i="1" a="1"/>
  <c r="J2185" i="1" s="1"/>
  <c r="L2191" i="1" a="1"/>
  <c r="L2191" i="1" s="1"/>
  <c r="L2190" i="1" a="1"/>
  <c r="L2190" i="1" s="1"/>
  <c r="K2187" i="1" a="1"/>
  <c r="K2187" i="1" s="1"/>
  <c r="K2191" i="1" a="1"/>
  <c r="K2191" i="1" s="1"/>
  <c r="K2184" i="1" a="1"/>
  <c r="K2184" i="1" s="1"/>
  <c r="K2185" i="1" a="1"/>
  <c r="K2185" i="1" s="1"/>
  <c r="J2183" i="1" a="1"/>
  <c r="J2183" i="1" s="1"/>
  <c r="K2188" i="1" a="1"/>
  <c r="K2188" i="1" s="1"/>
  <c r="L2186" i="1" a="1"/>
  <c r="L2186" i="1" s="1"/>
  <c r="J2187" i="1" a="1"/>
  <c r="J2187" i="1" s="1"/>
  <c r="J2186" i="1" a="1"/>
  <c r="J2186" i="1" s="1"/>
  <c r="K2183" i="1" a="1"/>
  <c r="K2183" i="1" s="1"/>
  <c r="L2185" i="1" a="1"/>
  <c r="L2185" i="1" s="1"/>
  <c r="J2190" i="1" a="1"/>
  <c r="J2190" i="1" s="1"/>
  <c r="L2182" i="1" a="1"/>
  <c r="L2182" i="1" s="1"/>
  <c r="L2188" i="1" a="1"/>
  <c r="L2188" i="1" s="1"/>
  <c r="L2184" i="1" a="1"/>
  <c r="L2184" i="1" s="1"/>
  <c r="J2188" i="1" a="1"/>
  <c r="J2188" i="1" s="1"/>
  <c r="L2187" i="1" a="1"/>
  <c r="L2187" i="1" s="1"/>
  <c r="J2184" i="1" a="1"/>
  <c r="J2184" i="1" s="1"/>
  <c r="L1338" i="1" a="1"/>
  <c r="L1338" i="1" s="1"/>
  <c r="K1334" i="1" a="1"/>
  <c r="K1334" i="1" s="1"/>
  <c r="J1333" i="1" a="1"/>
  <c r="J1333" i="1" s="1"/>
  <c r="L1336" i="1" a="1"/>
  <c r="L1336" i="1" s="1"/>
  <c r="L1335" i="1" a="1"/>
  <c r="L1335" i="1" s="1"/>
  <c r="L1334" i="1" a="1"/>
  <c r="L1334" i="1" s="1"/>
  <c r="J1336" i="1" a="1"/>
  <c r="J1336" i="1" s="1"/>
  <c r="L1333" i="1" a="1"/>
  <c r="L1333" i="1" s="1"/>
  <c r="K1335" i="1" a="1"/>
  <c r="K1335" i="1" s="1"/>
  <c r="J1340" i="1" a="1"/>
  <c r="J1340" i="1" s="1"/>
  <c r="L1339" i="1" a="1"/>
  <c r="L1339" i="1" s="1"/>
  <c r="L1340" i="1" a="1"/>
  <c r="L1340" i="1" s="1"/>
  <c r="K1333" i="1" a="1"/>
  <c r="K1333" i="1" s="1"/>
  <c r="K1339" i="1" a="1"/>
  <c r="K1339" i="1" s="1"/>
  <c r="J1339" i="1" a="1"/>
  <c r="J1339" i="1" s="1"/>
  <c r="J1338" i="1" a="1"/>
  <c r="J1338" i="1" s="1"/>
  <c r="L1337" i="1" a="1"/>
  <c r="L1337" i="1" s="1"/>
  <c r="K1336" i="1" a="1"/>
  <c r="K1336" i="1" s="1"/>
  <c r="J1334" i="1" a="1"/>
  <c r="J1334" i="1" s="1"/>
  <c r="K1340" i="1" a="1"/>
  <c r="K1340" i="1" s="1"/>
  <c r="K1337" i="1" a="1"/>
  <c r="K1337" i="1" s="1"/>
  <c r="J1337" i="1" a="1"/>
  <c r="J1337" i="1" s="1"/>
  <c r="K1338" i="1" a="1"/>
  <c r="K1338" i="1" s="1"/>
  <c r="J1335" i="1" a="1"/>
  <c r="J1335" i="1" s="1"/>
  <c r="K1332" i="1" a="1"/>
  <c r="K1332" i="1" s="1"/>
  <c r="J1332" i="1" a="1"/>
  <c r="J1332" i="1" s="1"/>
  <c r="L1326" i="1" a="1"/>
  <c r="L1326" i="1" s="1"/>
  <c r="J1326" i="1" a="1"/>
  <c r="J1326" i="1" s="1"/>
  <c r="K1325" i="1" a="1"/>
  <c r="K1325" i="1" s="1"/>
  <c r="K1323" i="1" a="1"/>
  <c r="K1323" i="1" s="1"/>
  <c r="J1325" i="1" a="1"/>
  <c r="J1325" i="1" s="1"/>
  <c r="K1321" i="1" a="1"/>
  <c r="K1321" i="1" s="1"/>
  <c r="L1325" i="1" a="1"/>
  <c r="L1325" i="1" s="1"/>
  <c r="K1324" i="1" a="1"/>
  <c r="K1324" i="1" s="1"/>
  <c r="J1323" i="1" a="1"/>
  <c r="J1323" i="1" s="1"/>
  <c r="J1324" i="1" a="1"/>
  <c r="J1324" i="1" s="1"/>
  <c r="J1321" i="1" a="1"/>
  <c r="J1321" i="1" s="1"/>
  <c r="K1326" i="1" a="1"/>
  <c r="K1326" i="1" s="1"/>
  <c r="L1321" i="1" a="1"/>
  <c r="L1321" i="1" s="1"/>
  <c r="L1323" i="1" a="1"/>
  <c r="L1323" i="1" s="1"/>
  <c r="L1324" i="1" a="1"/>
  <c r="L1324" i="1" s="1"/>
  <c r="L1332" i="1" a="1"/>
  <c r="L1332" i="1" s="1"/>
  <c r="J1318" i="1" a="1"/>
  <c r="J1318" i="1" s="1"/>
  <c r="K1317" i="1" a="1"/>
  <c r="K1317" i="1" s="1"/>
  <c r="L1319" i="1" a="1"/>
  <c r="L1319" i="1" s="1"/>
  <c r="K1319" i="1" a="1"/>
  <c r="K1319" i="1" s="1"/>
  <c r="K1320" i="1" a="1"/>
  <c r="K1320" i="1" s="1"/>
  <c r="J1319" i="1" a="1"/>
  <c r="J1319" i="1" s="1"/>
  <c r="L1320" i="1" a="1"/>
  <c r="L1320" i="1" s="1"/>
  <c r="J1320" i="1" a="1"/>
  <c r="J1320" i="1" s="1"/>
  <c r="K1318" i="1" a="1"/>
  <c r="K1318" i="1" s="1"/>
  <c r="J1317" i="1" a="1"/>
  <c r="J1317" i="1" s="1"/>
  <c r="L1318" i="1" a="1"/>
  <c r="L1318" i="1" s="1"/>
  <c r="L1317" i="1" a="1"/>
  <c r="L1317" i="1" s="1"/>
  <c r="K1261" i="1" a="1"/>
  <c r="K1261" i="1" s="1"/>
  <c r="K1262" i="1" a="1"/>
  <c r="K1262" i="1" s="1"/>
  <c r="L1263" i="1" a="1"/>
  <c r="L1263" i="1" s="1"/>
  <c r="L1261" i="1" a="1"/>
  <c r="L1261" i="1" s="1"/>
  <c r="L1262" i="1" a="1"/>
  <c r="L1262" i="1" s="1"/>
  <c r="J1262" i="1" a="1"/>
  <c r="J1262" i="1" s="1"/>
  <c r="K1263" i="1" a="1"/>
  <c r="K1263" i="1" s="1"/>
  <c r="J1263" i="1" a="1"/>
  <c r="J1263" i="1" s="1"/>
  <c r="J1261" i="1" a="1"/>
  <c r="J1261" i="1" s="1"/>
  <c r="J1255" i="1" a="1"/>
  <c r="J1255" i="1" s="1"/>
  <c r="L1260" i="1" a="1"/>
  <c r="L1260" i="1" s="1"/>
  <c r="K1260" i="1" a="1"/>
  <c r="K1260" i="1" s="1"/>
  <c r="L1256" i="1" a="1"/>
  <c r="L1256" i="1" s="1"/>
  <c r="J1260" i="1" a="1"/>
  <c r="J1260" i="1" s="1"/>
  <c r="L1255" i="1" a="1"/>
  <c r="L1255" i="1" s="1"/>
  <c r="L1257" i="1" a="1"/>
  <c r="L1257" i="1" s="1"/>
  <c r="K1256" i="1" a="1"/>
  <c r="K1256" i="1" s="1"/>
  <c r="J1252" i="1" a="1"/>
  <c r="J1252" i="1" s="1"/>
  <c r="L1259" i="1" a="1"/>
  <c r="L1259" i="1" s="1"/>
  <c r="K1257" i="1" a="1"/>
  <c r="K1257" i="1" s="1"/>
  <c r="J1256" i="1" a="1"/>
  <c r="J1256" i="1" s="1"/>
  <c r="J1258" i="1" a="1"/>
  <c r="J1258" i="1" s="1"/>
  <c r="K1259" i="1" a="1"/>
  <c r="K1259" i="1" s="1"/>
  <c r="J1259" i="1" a="1"/>
  <c r="J1259" i="1" s="1"/>
  <c r="L1258" i="1" a="1"/>
  <c r="L1258" i="1" s="1"/>
  <c r="K1252" i="1" a="1"/>
  <c r="K1252" i="1" s="1"/>
  <c r="J1253" i="1" a="1"/>
  <c r="J1253" i="1" s="1"/>
  <c r="K1258" i="1" a="1"/>
  <c r="K1258" i="1" s="1"/>
  <c r="J1254" i="1" a="1"/>
  <c r="J1254" i="1" s="1"/>
  <c r="L1253" i="1" a="1"/>
  <c r="L1253" i="1" s="1"/>
  <c r="L1252" i="1" a="1"/>
  <c r="L1252" i="1" s="1"/>
  <c r="K1253" i="1" a="1"/>
  <c r="K1253" i="1" s="1"/>
  <c r="K1255" i="1" a="1"/>
  <c r="K1255" i="1" s="1"/>
  <c r="K1254" i="1" a="1"/>
  <c r="K1254" i="1" s="1"/>
  <c r="L1254" i="1" a="1"/>
  <c r="L1254" i="1" s="1"/>
  <c r="J1257" i="1" a="1"/>
  <c r="J1257" i="1" s="1"/>
  <c r="J1249" i="1" a="1"/>
  <c r="J1249" i="1" s="1"/>
  <c r="K1245" i="1" a="1"/>
  <c r="K1245" i="1" s="1"/>
  <c r="L1244" i="1" a="1"/>
  <c r="L1244" i="1" s="1"/>
  <c r="L1247" i="1" a="1"/>
  <c r="L1247" i="1" s="1"/>
  <c r="J1244" i="1" a="1"/>
  <c r="J1244" i="1" s="1"/>
  <c r="L1251" i="1" a="1"/>
  <c r="L1251" i="1" s="1"/>
  <c r="K1251" i="1" a="1"/>
  <c r="K1251" i="1" s="1"/>
  <c r="J1251" i="1" a="1"/>
  <c r="J1251" i="1" s="1"/>
  <c r="K1250" i="1" a="1"/>
  <c r="K1250" i="1" s="1"/>
  <c r="J1248" i="1" a="1"/>
  <c r="J1248" i="1" s="1"/>
  <c r="K1247" i="1" a="1"/>
  <c r="K1247" i="1" s="1"/>
  <c r="K1246" i="1" a="1"/>
  <c r="K1246" i="1" s="1"/>
  <c r="L1245" i="1" a="1"/>
  <c r="L1245" i="1" s="1"/>
  <c r="K1243" i="1" a="1"/>
  <c r="K1243" i="1" s="1"/>
  <c r="L1250" i="1" a="1"/>
  <c r="L1250" i="1" s="1"/>
  <c r="J1250" i="1" a="1"/>
  <c r="J1250" i="1" s="1"/>
  <c r="L1249" i="1" a="1"/>
  <c r="L1249" i="1" s="1"/>
  <c r="K1248" i="1" a="1"/>
  <c r="K1248" i="1" s="1"/>
  <c r="L1248" i="1" a="1"/>
  <c r="L1248" i="1" s="1"/>
  <c r="J1245" i="1" a="1"/>
  <c r="J1245" i="1" s="1"/>
  <c r="J1243" i="1" a="1"/>
  <c r="J1243" i="1" s="1"/>
  <c r="L1246" i="1" a="1"/>
  <c r="L1246" i="1" s="1"/>
  <c r="J1247" i="1" a="1"/>
  <c r="J1247" i="1" s="1"/>
  <c r="K1249" i="1" a="1"/>
  <c r="K1249" i="1" s="1"/>
  <c r="J1246" i="1" a="1"/>
  <c r="J1246" i="1" s="1"/>
  <c r="K1244" i="1" a="1"/>
  <c r="K1244" i="1" s="1"/>
  <c r="L1243" i="1" a="1"/>
  <c r="L1243" i="1" s="1"/>
  <c r="J1237" i="1" a="1"/>
  <c r="J1237" i="1" s="1"/>
  <c r="J1236" i="1" a="1"/>
  <c r="J1236" i="1" s="1"/>
  <c r="K1241" i="1" a="1"/>
  <c r="K1241" i="1" s="1"/>
  <c r="K1236" i="1" a="1"/>
  <c r="K1236" i="1" s="1"/>
  <c r="J1241" i="1" a="1"/>
  <c r="J1241" i="1" s="1"/>
  <c r="L1236" i="1" a="1"/>
  <c r="L1236" i="1" s="1"/>
  <c r="L1240" i="1" a="1"/>
  <c r="L1240" i="1" s="1"/>
  <c r="L1233" i="1" a="1"/>
  <c r="L1233" i="1" s="1"/>
  <c r="K1240" i="1" a="1"/>
  <c r="K1240" i="1" s="1"/>
  <c r="K1235" i="1" a="1"/>
  <c r="K1235" i="1" s="1"/>
  <c r="L1234" i="1" a="1"/>
  <c r="L1234" i="1" s="1"/>
  <c r="K1234" i="1" a="1"/>
  <c r="K1234" i="1" s="1"/>
  <c r="J1240" i="1" a="1"/>
  <c r="J1240" i="1" s="1"/>
  <c r="K1238" i="1" a="1"/>
  <c r="K1238" i="1" s="1"/>
  <c r="J1239" i="1" a="1"/>
  <c r="J1239" i="1" s="1"/>
  <c r="L1238" i="1" a="1"/>
  <c r="L1238" i="1" s="1"/>
  <c r="K1237" i="1" a="1"/>
  <c r="K1237" i="1" s="1"/>
  <c r="J1235" i="1" a="1"/>
  <c r="J1235" i="1" s="1"/>
  <c r="J1238" i="1" a="1"/>
  <c r="J1238" i="1" s="1"/>
  <c r="K1239" i="1" a="1"/>
  <c r="K1239" i="1" s="1"/>
  <c r="L1241" i="1" a="1"/>
  <c r="L1241" i="1" s="1"/>
  <c r="L1237" i="1" a="1"/>
  <c r="L1237" i="1" s="1"/>
  <c r="J1234" i="1" a="1"/>
  <c r="J1234" i="1" s="1"/>
  <c r="L1235" i="1" a="1"/>
  <c r="L1235" i="1" s="1"/>
  <c r="L1239" i="1" a="1"/>
  <c r="L1239" i="1" s="1"/>
  <c r="L1242" i="1" a="1"/>
  <c r="L1242" i="1" s="1"/>
  <c r="K1242" i="1" a="1"/>
  <c r="K1242" i="1" s="1"/>
  <c r="J1242" i="1" a="1"/>
  <c r="J1242" i="1" s="1"/>
  <c r="K1227" i="1" a="1"/>
  <c r="K1227" i="1" s="1"/>
  <c r="L1225" i="1" a="1"/>
  <c r="L1225" i="1" s="1"/>
  <c r="K1230" i="1" a="1"/>
  <c r="K1230" i="1" s="1"/>
  <c r="L1226" i="1" a="1"/>
  <c r="L1226" i="1" s="1"/>
  <c r="L1231" i="1" a="1"/>
  <c r="L1231" i="1" s="1"/>
  <c r="L1232" i="1" a="1"/>
  <c r="L1232" i="1" s="1"/>
  <c r="J1232" i="1" a="1"/>
  <c r="J1232" i="1" s="1"/>
  <c r="J1231" i="1" a="1"/>
  <c r="J1231" i="1" s="1"/>
  <c r="K1226" i="1" a="1"/>
  <c r="K1226" i="1" s="1"/>
  <c r="K1231" i="1" a="1"/>
  <c r="K1231" i="1" s="1"/>
  <c r="J1230" i="1" a="1"/>
  <c r="J1230" i="1" s="1"/>
  <c r="K1229" i="1" a="1"/>
  <c r="K1229" i="1" s="1"/>
  <c r="J1229" i="1" a="1"/>
  <c r="J1229" i="1" s="1"/>
  <c r="L1228" i="1" a="1"/>
  <c r="L1228" i="1" s="1"/>
  <c r="J1228" i="1" a="1"/>
  <c r="J1228" i="1" s="1"/>
  <c r="L1227" i="1" a="1"/>
  <c r="L1227" i="1" s="1"/>
  <c r="K1228" i="1" a="1"/>
  <c r="K1228" i="1" s="1"/>
  <c r="J1225" i="1" a="1"/>
  <c r="J1225" i="1" s="1"/>
  <c r="K1233" i="1" a="1"/>
  <c r="K1233" i="1" s="1"/>
  <c r="J1227" i="1" a="1"/>
  <c r="J1227" i="1" s="1"/>
  <c r="J1226" i="1" a="1"/>
  <c r="J1226" i="1" s="1"/>
  <c r="J1233" i="1" a="1"/>
  <c r="J1233" i="1" s="1"/>
  <c r="K1232" i="1" a="1"/>
  <c r="K1232" i="1" s="1"/>
  <c r="L1230" i="1" a="1"/>
  <c r="L1230" i="1" s="1"/>
  <c r="L1224" i="1" a="1"/>
  <c r="L1224" i="1" s="1"/>
  <c r="K1225" i="1" a="1"/>
  <c r="K1225" i="1" s="1"/>
  <c r="L1229" i="1" a="1"/>
  <c r="L1229" i="1" s="1"/>
  <c r="K1220" i="1" a="1"/>
  <c r="K1220" i="1" s="1"/>
  <c r="L1219" i="1" a="1"/>
  <c r="L1219" i="1" s="1"/>
  <c r="L1223" i="1" a="1"/>
  <c r="L1223" i="1" s="1"/>
  <c r="K1222" i="1" a="1"/>
  <c r="K1222" i="1" s="1"/>
  <c r="K1221" i="1" a="1"/>
  <c r="K1221" i="1" s="1"/>
  <c r="J1221" i="1" a="1"/>
  <c r="J1221" i="1" s="1"/>
  <c r="L1218" i="1" a="1"/>
  <c r="L1218" i="1" s="1"/>
  <c r="K1216" i="1" a="1"/>
  <c r="K1216" i="1" s="1"/>
  <c r="J1222" i="1" a="1"/>
  <c r="J1222" i="1" s="1"/>
  <c r="L1221" i="1" a="1"/>
  <c r="L1221" i="1" s="1"/>
  <c r="J1220" i="1" a="1"/>
  <c r="J1220" i="1" s="1"/>
  <c r="K1219" i="1" a="1"/>
  <c r="K1219" i="1" s="1"/>
  <c r="J1216" i="1" a="1"/>
  <c r="J1216" i="1" s="1"/>
  <c r="J1217" i="1" a="1"/>
  <c r="J1217" i="1" s="1"/>
  <c r="L1222" i="1" a="1"/>
  <c r="L1222" i="1" s="1"/>
  <c r="K1224" i="1" a="1"/>
  <c r="K1224" i="1" s="1"/>
  <c r="L1217" i="1" a="1"/>
  <c r="L1217" i="1" s="1"/>
  <c r="J1223" i="1" a="1"/>
  <c r="J1223" i="1" s="1"/>
  <c r="K1217" i="1" a="1"/>
  <c r="K1217" i="1" s="1"/>
  <c r="J1224" i="1" a="1"/>
  <c r="J1224" i="1" s="1"/>
  <c r="K1218" i="1" a="1"/>
  <c r="K1218" i="1" s="1"/>
  <c r="L1216" i="1" a="1"/>
  <c r="L1216" i="1" s="1"/>
  <c r="K1223" i="1" a="1"/>
  <c r="K1223" i="1" s="1"/>
  <c r="J1218" i="1" a="1"/>
  <c r="J1218" i="1" s="1"/>
  <c r="L1220" i="1" a="1"/>
  <c r="L1220" i="1" s="1"/>
  <c r="J1219" i="1" a="1"/>
  <c r="J1219" i="1" s="1"/>
  <c r="J1212" i="1" a="1"/>
  <c r="J1212" i="1" s="1"/>
  <c r="K1215" i="1" a="1"/>
  <c r="K1215" i="1" s="1"/>
  <c r="K1212" i="1" a="1"/>
  <c r="K1212" i="1" s="1"/>
  <c r="J1209" i="1" a="1"/>
  <c r="J1209" i="1" s="1"/>
  <c r="J1208" i="1" a="1"/>
  <c r="J1208" i="1" s="1"/>
  <c r="K1210" i="1" a="1"/>
  <c r="K1210" i="1" s="1"/>
  <c r="J1211" i="1" a="1"/>
  <c r="J1211" i="1" s="1"/>
  <c r="L1212" i="1" a="1"/>
  <c r="L1212" i="1" s="1"/>
  <c r="J1210" i="1" a="1"/>
  <c r="J1210" i="1" s="1"/>
  <c r="L1208" i="1" a="1"/>
  <c r="L1208" i="1" s="1"/>
  <c r="L1210" i="1" a="1"/>
  <c r="L1210" i="1" s="1"/>
  <c r="K1209" i="1" a="1"/>
  <c r="K1209" i="1" s="1"/>
  <c r="K1211" i="1" a="1"/>
  <c r="K1211" i="1" s="1"/>
  <c r="J1215" i="1" a="1"/>
  <c r="J1215" i="1" s="1"/>
  <c r="L1214" i="1" a="1"/>
  <c r="L1214" i="1" s="1"/>
  <c r="K1214" i="1" a="1"/>
  <c r="K1214" i="1" s="1"/>
  <c r="J1214" i="1" a="1"/>
  <c r="J1214" i="1" s="1"/>
  <c r="L1209" i="1" a="1"/>
  <c r="L1209" i="1" s="1"/>
  <c r="L1215" i="1" a="1"/>
  <c r="L1215" i="1" s="1"/>
  <c r="K1208" i="1" a="1"/>
  <c r="K1208" i="1" s="1"/>
  <c r="L1211" i="1" a="1"/>
  <c r="L1211" i="1" s="1"/>
  <c r="J1197" i="1" a="1"/>
  <c r="J1197" i="1" s="1"/>
  <c r="K1202" i="1" a="1"/>
  <c r="K1202" i="1" s="1"/>
  <c r="J1200" i="1" a="1"/>
  <c r="J1200" i="1" s="1"/>
  <c r="J1199" i="1" a="1"/>
  <c r="J1199" i="1" s="1"/>
  <c r="K1198" i="1" a="1"/>
  <c r="K1198" i="1" s="1"/>
  <c r="K1201" i="1" a="1"/>
  <c r="K1201" i="1" s="1"/>
  <c r="L1200" i="1" a="1"/>
  <c r="L1200" i="1" s="1"/>
  <c r="J1202" i="1" a="1"/>
  <c r="J1202" i="1" s="1"/>
  <c r="J1201" i="1" a="1"/>
  <c r="J1201" i="1" s="1"/>
  <c r="L1199" i="1" a="1"/>
  <c r="L1199" i="1" s="1"/>
  <c r="L1201" i="1" a="1"/>
  <c r="L1201" i="1" s="1"/>
  <c r="L1198" i="1" a="1"/>
  <c r="L1198" i="1" s="1"/>
  <c r="J1198" i="1" a="1"/>
  <c r="J1198" i="1" s="1"/>
  <c r="L1202" i="1" a="1"/>
  <c r="L1202" i="1" s="1"/>
  <c r="K1200" i="1" a="1"/>
  <c r="K1200" i="1" s="1"/>
  <c r="L1197" i="1" a="1"/>
  <c r="L1197" i="1" s="1"/>
  <c r="K1197" i="1" a="1"/>
  <c r="K1197" i="1" s="1"/>
  <c r="K1199" i="1" a="1"/>
  <c r="K1199" i="1" s="1"/>
  <c r="L1195" i="1" a="1"/>
  <c r="L1195" i="1" s="1"/>
  <c r="L1196" i="1" a="1"/>
  <c r="L1196" i="1" s="1"/>
  <c r="K1196" i="1" a="1"/>
  <c r="K1196" i="1" s="1"/>
  <c r="L1193" i="1" a="1"/>
  <c r="L1193" i="1" s="1"/>
  <c r="K1194" i="1" a="1"/>
  <c r="K1194" i="1" s="1"/>
  <c r="K1193" i="1" a="1"/>
  <c r="K1193" i="1" s="1"/>
  <c r="L1191" i="1" a="1"/>
  <c r="L1191" i="1" s="1"/>
  <c r="J1194" i="1" a="1"/>
  <c r="J1194" i="1" s="1"/>
  <c r="J1192" i="1" a="1"/>
  <c r="J1192" i="1" s="1"/>
  <c r="J1191" i="1" a="1"/>
  <c r="J1191" i="1" s="1"/>
  <c r="K1190" i="1" a="1"/>
  <c r="K1190" i="1" s="1"/>
  <c r="K1195" i="1" a="1"/>
  <c r="K1195" i="1" s="1"/>
  <c r="L1190" i="1" a="1"/>
  <c r="L1190" i="1" s="1"/>
  <c r="J1196" i="1" a="1"/>
  <c r="J1196" i="1" s="1"/>
  <c r="L1194" i="1" a="1"/>
  <c r="L1194" i="1" s="1"/>
  <c r="L1192" i="1" a="1"/>
  <c r="L1192" i="1" s="1"/>
  <c r="J1193" i="1" a="1"/>
  <c r="J1193" i="1" s="1"/>
  <c r="K1191" i="1" a="1"/>
  <c r="K1191" i="1" s="1"/>
  <c r="J1190" i="1" a="1"/>
  <c r="J1190" i="1" s="1"/>
  <c r="K1192" i="1" a="1"/>
  <c r="K1192" i="1" s="1"/>
  <c r="J1195" i="1" a="1"/>
  <c r="J1195" i="1" s="1"/>
  <c r="L1188" i="1" a="1"/>
  <c r="L1188" i="1" s="1"/>
  <c r="K1188" i="1" a="1"/>
  <c r="K1188" i="1" s="1"/>
  <c r="L1186" i="1" a="1"/>
  <c r="L1186" i="1" s="1"/>
  <c r="K1179" i="1" a="1"/>
  <c r="K1179" i="1" s="1"/>
  <c r="K1189" i="1" a="1"/>
  <c r="K1189" i="1" s="1"/>
  <c r="K1187" i="1" a="1"/>
  <c r="K1187" i="1" s="1"/>
  <c r="J1189" i="1" a="1"/>
  <c r="J1189" i="1" s="1"/>
  <c r="J1188" i="1" a="1"/>
  <c r="J1188" i="1" s="1"/>
  <c r="J1187" i="1" a="1"/>
  <c r="J1187" i="1" s="1"/>
  <c r="L1179" i="1" a="1"/>
  <c r="L1179" i="1" s="1"/>
  <c r="K1185" i="1" a="1"/>
  <c r="K1185" i="1" s="1"/>
  <c r="J1179" i="1" a="1"/>
  <c r="J1179" i="1" s="1"/>
  <c r="L1189" i="1" a="1"/>
  <c r="L1189" i="1" s="1"/>
  <c r="L1185" i="1" a="1"/>
  <c r="L1185" i="1" s="1"/>
  <c r="J1185" i="1" a="1"/>
  <c r="J1185" i="1" s="1"/>
  <c r="K1186" i="1" a="1"/>
  <c r="K1186" i="1" s="1"/>
  <c r="L1187" i="1" a="1"/>
  <c r="L1187" i="1" s="1"/>
  <c r="J1186" i="1" a="1"/>
  <c r="J1186" i="1" s="1"/>
  <c r="L1173" i="1" a="1"/>
  <c r="L1173" i="1" s="1"/>
  <c r="L1176" i="1" a="1"/>
  <c r="L1176" i="1" s="1"/>
  <c r="K1174" i="1" a="1"/>
  <c r="K1174" i="1" s="1"/>
  <c r="J1173" i="1" a="1"/>
  <c r="J1173" i="1" s="1"/>
  <c r="K1176" i="1" a="1"/>
  <c r="K1176" i="1" s="1"/>
  <c r="J1171" i="1" a="1"/>
  <c r="J1171" i="1" s="1"/>
  <c r="J1176" i="1" a="1"/>
  <c r="J1176" i="1" s="1"/>
  <c r="K1171" i="1" a="1"/>
  <c r="K1171" i="1" s="1"/>
  <c r="L1174" i="1" a="1"/>
  <c r="L1174" i="1" s="1"/>
  <c r="K1173" i="1" a="1"/>
  <c r="K1173" i="1" s="1"/>
  <c r="L1172" i="1" a="1"/>
  <c r="L1172" i="1" s="1"/>
  <c r="L1170" i="1" a="1"/>
  <c r="L1170" i="1" s="1"/>
  <c r="L1178" i="1" a="1"/>
  <c r="L1178" i="1" s="1"/>
  <c r="K1178" i="1" a="1"/>
  <c r="K1178" i="1" s="1"/>
  <c r="J1177" i="1" a="1"/>
  <c r="J1177" i="1" s="1"/>
  <c r="J1178" i="1" a="1"/>
  <c r="J1178" i="1" s="1"/>
  <c r="K1177" i="1" a="1"/>
  <c r="K1177" i="1" s="1"/>
  <c r="L1177" i="1" a="1"/>
  <c r="L1177" i="1" s="1"/>
  <c r="K1175" i="1" a="1"/>
  <c r="K1175" i="1" s="1"/>
  <c r="J1172" i="1" a="1"/>
  <c r="J1172" i="1" s="1"/>
  <c r="J1175" i="1" a="1"/>
  <c r="J1175" i="1" s="1"/>
  <c r="K1172" i="1" a="1"/>
  <c r="K1172" i="1" s="1"/>
  <c r="L1171" i="1" a="1"/>
  <c r="L1171" i="1" s="1"/>
  <c r="L1175" i="1" a="1"/>
  <c r="L1175" i="1" s="1"/>
  <c r="J1174" i="1" a="1"/>
  <c r="J1174" i="1" s="1"/>
  <c r="K1167" i="1" a="1"/>
  <c r="K1167" i="1" s="1"/>
  <c r="L1169" i="1" a="1"/>
  <c r="L1169" i="1" s="1"/>
  <c r="K1164" i="1" a="1"/>
  <c r="K1164" i="1" s="1"/>
  <c r="L1168" i="1" a="1"/>
  <c r="L1168" i="1" s="1"/>
  <c r="K1168" i="1" a="1"/>
  <c r="K1168" i="1" s="1"/>
  <c r="J1168" i="1" a="1"/>
  <c r="J1168" i="1" s="1"/>
  <c r="K1163" i="1" a="1"/>
  <c r="K1163" i="1" s="1"/>
  <c r="J1167" i="1" a="1"/>
  <c r="J1167" i="1" s="1"/>
  <c r="L1165" i="1" a="1"/>
  <c r="L1165" i="1" s="1"/>
  <c r="J1165" i="1" a="1"/>
  <c r="J1165" i="1" s="1"/>
  <c r="L1164" i="1" a="1"/>
  <c r="L1164" i="1" s="1"/>
  <c r="L1167" i="1" a="1"/>
  <c r="L1167" i="1" s="1"/>
  <c r="J1164" i="1" a="1"/>
  <c r="J1164" i="1" s="1"/>
  <c r="K1170" i="1" a="1"/>
  <c r="K1170" i="1" s="1"/>
  <c r="J1170" i="1" a="1"/>
  <c r="J1170" i="1" s="1"/>
  <c r="K1166" i="1" a="1"/>
  <c r="K1166" i="1" s="1"/>
  <c r="K1165" i="1" a="1"/>
  <c r="K1165" i="1" s="1"/>
  <c r="J1169" i="1" a="1"/>
  <c r="J1169" i="1" s="1"/>
  <c r="K1169" i="1" a="1"/>
  <c r="K1169" i="1" s="1"/>
  <c r="L1166" i="1" a="1"/>
  <c r="L1166" i="1" s="1"/>
  <c r="L1163" i="1" a="1"/>
  <c r="L1163" i="1" s="1"/>
  <c r="J1166" i="1" a="1"/>
  <c r="J1166" i="1" s="1"/>
  <c r="J1155" i="1" a="1"/>
  <c r="J1155" i="1" s="1"/>
  <c r="K1154" i="1" a="1"/>
  <c r="K1154" i="1" s="1"/>
  <c r="J1153" i="1" a="1"/>
  <c r="J1153" i="1" s="1"/>
  <c r="J1163" i="1" a="1"/>
  <c r="J1163" i="1" s="1"/>
  <c r="J1154" i="1" a="1"/>
  <c r="J1154" i="1" s="1"/>
  <c r="K1162" i="1" a="1"/>
  <c r="K1162" i="1" s="1"/>
  <c r="L1153" i="1" a="1"/>
  <c r="L1153" i="1" s="1"/>
  <c r="K1153" i="1" a="1"/>
  <c r="K1153" i="1" s="1"/>
  <c r="L1162" i="1" a="1"/>
  <c r="L1162" i="1" s="1"/>
  <c r="J1162" i="1" a="1"/>
  <c r="J1162" i="1" s="1"/>
  <c r="J1156" i="1" a="1"/>
  <c r="J1156" i="1" s="1"/>
  <c r="L1156" i="1" a="1"/>
  <c r="L1156" i="1" s="1"/>
  <c r="K1155" i="1" a="1"/>
  <c r="K1155" i="1" s="1"/>
  <c r="L1155" i="1" a="1"/>
  <c r="L1155" i="1" s="1"/>
  <c r="L1154" i="1" a="1"/>
  <c r="L1154" i="1" s="1"/>
  <c r="K1156" i="1" a="1"/>
  <c r="K1156" i="1" s="1"/>
  <c r="K1142" i="1" a="1"/>
  <c r="K1142" i="1" s="1"/>
  <c r="J1143" i="1" a="1"/>
  <c r="J1143" i="1" s="1"/>
  <c r="K1149" i="1" a="1"/>
  <c r="K1149" i="1" s="1"/>
  <c r="L1148" i="1" a="1"/>
  <c r="L1148" i="1" s="1"/>
  <c r="J1146" i="1" a="1"/>
  <c r="J1146" i="1" s="1"/>
  <c r="J1148" i="1" a="1"/>
  <c r="J1148" i="1" s="1"/>
  <c r="L1144" i="1" a="1"/>
  <c r="L1144" i="1" s="1"/>
  <c r="J1142" i="1" a="1"/>
  <c r="J1142" i="1" s="1"/>
  <c r="L1143" i="1" a="1"/>
  <c r="L1143" i="1" s="1"/>
  <c r="K1148" i="1" a="1"/>
  <c r="K1148" i="1" s="1"/>
  <c r="L1150" i="1" a="1"/>
  <c r="L1150" i="1" s="1"/>
  <c r="K1150" i="1" a="1"/>
  <c r="K1150" i="1" s="1"/>
  <c r="J1144" i="1" a="1"/>
  <c r="J1144" i="1" s="1"/>
  <c r="J1147" i="1" a="1"/>
  <c r="J1147" i="1" s="1"/>
  <c r="J1150" i="1" a="1"/>
  <c r="J1150" i="1" s="1"/>
  <c r="L1145" i="1" a="1"/>
  <c r="L1145" i="1" s="1"/>
  <c r="L1147" i="1" a="1"/>
  <c r="L1147" i="1" s="1"/>
  <c r="J1149" i="1" a="1"/>
  <c r="J1149" i="1" s="1"/>
  <c r="K1143" i="1" a="1"/>
  <c r="K1143" i="1" s="1"/>
  <c r="L1146" i="1" a="1"/>
  <c r="L1146" i="1" s="1"/>
  <c r="K1146" i="1" a="1"/>
  <c r="K1146" i="1" s="1"/>
  <c r="L1142" i="1" a="1"/>
  <c r="L1142" i="1" s="1"/>
  <c r="K1147" i="1" a="1"/>
  <c r="K1147" i="1" s="1"/>
  <c r="K1144" i="1" a="1"/>
  <c r="K1144" i="1" s="1"/>
  <c r="L1149" i="1" a="1"/>
  <c r="L1149" i="1" s="1"/>
  <c r="K1145" i="1" a="1"/>
  <c r="K1145" i="1" s="1"/>
  <c r="J1145" i="1" a="1"/>
  <c r="J1145" i="1" s="1"/>
  <c r="J1138" i="1" a="1"/>
  <c r="J1138" i="1" s="1"/>
  <c r="K1141" i="1" a="1"/>
  <c r="K1141" i="1" s="1"/>
  <c r="J1141" i="1" a="1"/>
  <c r="J1141" i="1" s="1"/>
  <c r="J1140" i="1" a="1"/>
  <c r="J1140" i="1" s="1"/>
  <c r="J1139" i="1" a="1"/>
  <c r="J1139" i="1" s="1"/>
  <c r="L1141" i="1" a="1"/>
  <c r="L1141" i="1" s="1"/>
  <c r="L1140" i="1" a="1"/>
  <c r="L1140" i="1" s="1"/>
  <c r="K1140" i="1" a="1"/>
  <c r="K1140" i="1" s="1"/>
  <c r="L1138" i="1" a="1"/>
  <c r="L1138" i="1" s="1"/>
  <c r="K1138" i="1" a="1"/>
  <c r="K1138" i="1" s="1"/>
  <c r="L1139" i="1" a="1"/>
  <c r="L1139" i="1" s="1"/>
  <c r="K1139" i="1" a="1"/>
  <c r="K1139" i="1" s="1"/>
  <c r="K1513" i="1" a="1"/>
  <c r="K1513" i="1" s="1"/>
  <c r="J1514" i="1" a="1"/>
  <c r="J1514" i="1" s="1"/>
  <c r="J1516" i="1" a="1"/>
  <c r="J1516" i="1" s="1"/>
  <c r="K1514" i="1" a="1"/>
  <c r="K1514" i="1" s="1"/>
  <c r="L1514" i="1" a="1"/>
  <c r="L1514" i="1" s="1"/>
  <c r="L1516" i="1" a="1"/>
  <c r="L1516" i="1" s="1"/>
  <c r="J1513" i="1" a="1"/>
  <c r="J1513" i="1" s="1"/>
  <c r="L1519" i="1" a="1"/>
  <c r="L1519" i="1" s="1"/>
  <c r="K1519" i="1" a="1"/>
  <c r="K1519" i="1" s="1"/>
  <c r="K1515" i="1" a="1"/>
  <c r="K1515" i="1" s="1"/>
  <c r="J1519" i="1" a="1"/>
  <c r="J1519" i="1" s="1"/>
  <c r="J1517" i="1" a="1"/>
  <c r="J1517" i="1" s="1"/>
  <c r="J1515" i="1" a="1"/>
  <c r="J1515" i="1" s="1"/>
  <c r="L1513" i="1" a="1"/>
  <c r="L1513" i="1" s="1"/>
  <c r="L1515" i="1" a="1"/>
  <c r="L1515" i="1" s="1"/>
  <c r="L1517" i="1" a="1"/>
  <c r="L1517" i="1" s="1"/>
  <c r="K1517" i="1" a="1"/>
  <c r="K1517" i="1" s="1"/>
  <c r="K1516" i="1" a="1"/>
  <c r="K1516" i="1" s="1"/>
  <c r="L1504" i="1" a="1"/>
  <c r="L1504" i="1" s="1"/>
  <c r="L1507" i="1" a="1"/>
  <c r="L1507" i="1" s="1"/>
  <c r="L1501" i="1" a="1"/>
  <c r="L1501" i="1" s="1"/>
  <c r="L1502" i="1" a="1"/>
  <c r="L1502" i="1" s="1"/>
  <c r="J1506" i="1" a="1"/>
  <c r="J1506" i="1" s="1"/>
  <c r="J1501" i="1" a="1"/>
  <c r="J1501" i="1" s="1"/>
  <c r="L1505" i="1" a="1"/>
  <c r="L1505" i="1" s="1"/>
  <c r="K1505" i="1" a="1"/>
  <c r="K1505" i="1" s="1"/>
  <c r="K1501" i="1" a="1"/>
  <c r="K1501" i="1" s="1"/>
  <c r="K1500" i="1" a="1"/>
  <c r="K1500" i="1" s="1"/>
  <c r="L1500" i="1" a="1"/>
  <c r="L1500" i="1" s="1"/>
  <c r="K1506" i="1" a="1"/>
  <c r="K1506" i="1" s="1"/>
  <c r="J1502" i="1" a="1"/>
  <c r="J1502" i="1" s="1"/>
  <c r="K1507" i="1" a="1"/>
  <c r="K1507" i="1" s="1"/>
  <c r="J1507" i="1" a="1"/>
  <c r="J1507" i="1" s="1"/>
  <c r="J1505" i="1" a="1"/>
  <c r="J1505" i="1" s="1"/>
  <c r="K1504" i="1" a="1"/>
  <c r="K1504" i="1" s="1"/>
  <c r="J1504" i="1" a="1"/>
  <c r="J1504" i="1" s="1"/>
  <c r="K1502" i="1" a="1"/>
  <c r="K1502" i="1" s="1"/>
  <c r="L1506" i="1" a="1"/>
  <c r="L1506" i="1" s="1"/>
  <c r="J1485" i="1" a="1"/>
  <c r="J1485" i="1" s="1"/>
  <c r="J1500" i="1" a="1"/>
  <c r="J1500" i="1" s="1"/>
  <c r="J1494" i="1" a="1"/>
  <c r="J1494" i="1" s="1"/>
  <c r="K1487" i="1" a="1"/>
  <c r="K1487" i="1" s="1"/>
  <c r="K1485" i="1" a="1"/>
  <c r="K1485" i="1" s="1"/>
  <c r="K1492" i="1" a="1"/>
  <c r="K1492" i="1" s="1"/>
  <c r="L1494" i="1" a="1"/>
  <c r="L1494" i="1" s="1"/>
  <c r="L1499" i="1" a="1"/>
  <c r="L1499" i="1" s="1"/>
  <c r="K1494" i="1" a="1"/>
  <c r="K1494" i="1" s="1"/>
  <c r="L1492" i="1" a="1"/>
  <c r="L1492" i="1" s="1"/>
  <c r="L1485" i="1" a="1"/>
  <c r="L1485" i="1" s="1"/>
  <c r="K1499" i="1" a="1"/>
  <c r="K1499" i="1" s="1"/>
  <c r="J1499" i="1" a="1"/>
  <c r="J1499" i="1" s="1"/>
  <c r="J1487" i="1" a="1"/>
  <c r="J1487" i="1" s="1"/>
  <c r="J1492" i="1" a="1"/>
  <c r="J1492" i="1" s="1"/>
  <c r="L1487" i="1" a="1"/>
  <c r="L1487" i="1" s="1"/>
  <c r="J1457" i="1" a="1"/>
  <c r="J1457" i="1" s="1"/>
  <c r="L1457" i="1" a="1"/>
  <c r="L1457" i="1" s="1"/>
  <c r="K1457" i="1" a="1"/>
  <c r="K1457" i="1" s="1"/>
  <c r="J1458" i="1" a="1"/>
  <c r="J1458" i="1" s="1"/>
  <c r="L1458" i="1" a="1"/>
  <c r="L1458" i="1" s="1"/>
  <c r="K1458" i="1" a="1"/>
  <c r="K1458" i="1" s="1"/>
  <c r="K1449" i="1" a="1"/>
  <c r="K1449" i="1" s="1"/>
  <c r="J1448" i="1" a="1"/>
  <c r="J1448" i="1" s="1"/>
  <c r="J1453" i="1" a="1"/>
  <c r="J1453" i="1" s="1"/>
  <c r="K1452" i="1" a="1"/>
  <c r="K1452" i="1" s="1"/>
  <c r="J1451" i="1" a="1"/>
  <c r="J1451" i="1" s="1"/>
  <c r="K1453" i="1" a="1"/>
  <c r="K1453" i="1" s="1"/>
  <c r="L1455" i="1" a="1"/>
  <c r="L1455" i="1" s="1"/>
  <c r="J1449" i="1" a="1"/>
  <c r="J1449" i="1" s="1"/>
  <c r="K1450" i="1" a="1"/>
  <c r="K1450" i="1" s="1"/>
  <c r="L1456" i="1" a="1"/>
  <c r="L1456" i="1" s="1"/>
  <c r="J1452" i="1" a="1"/>
  <c r="J1452" i="1" s="1"/>
  <c r="K1454" i="1" a="1"/>
  <c r="K1454" i="1" s="1"/>
  <c r="K1448" i="1" a="1"/>
  <c r="K1448" i="1" s="1"/>
  <c r="L1451" i="1" a="1"/>
  <c r="L1451" i="1" s="1"/>
  <c r="K1456" i="1" a="1"/>
  <c r="K1456" i="1" s="1"/>
  <c r="L1453" i="1" a="1"/>
  <c r="L1453" i="1" s="1"/>
  <c r="L1454" i="1" a="1"/>
  <c r="L1454" i="1" s="1"/>
  <c r="L1452" i="1" a="1"/>
  <c r="L1452" i="1" s="1"/>
  <c r="J1450" i="1" a="1"/>
  <c r="J1450" i="1" s="1"/>
  <c r="J1456" i="1" a="1"/>
  <c r="J1456" i="1" s="1"/>
  <c r="L1448" i="1" a="1"/>
  <c r="L1448" i="1" s="1"/>
  <c r="L1450" i="1" a="1"/>
  <c r="L1450" i="1" s="1"/>
  <c r="L1449" i="1" a="1"/>
  <c r="L1449" i="1" s="1"/>
  <c r="J1455" i="1" a="1"/>
  <c r="J1455" i="1" s="1"/>
  <c r="J1454" i="1" a="1"/>
  <c r="J1454" i="1" s="1"/>
  <c r="K1455" i="1" a="1"/>
  <c r="K1455" i="1" s="1"/>
  <c r="K1451" i="1" a="1"/>
  <c r="K1451" i="1" s="1"/>
  <c r="K1439" i="1" a="1"/>
  <c r="K1439" i="1" s="1"/>
  <c r="K1443" i="1" a="1"/>
  <c r="K1443" i="1" s="1"/>
  <c r="L1442" i="1" a="1"/>
  <c r="L1442" i="1" s="1"/>
  <c r="K1442" i="1" a="1"/>
  <c r="K1442" i="1" s="1"/>
  <c r="L1439" i="1" a="1"/>
  <c r="L1439" i="1" s="1"/>
  <c r="J1439" i="1" a="1"/>
  <c r="J1439" i="1" s="1"/>
  <c r="J1440" i="1" a="1"/>
  <c r="J1440" i="1" s="1"/>
  <c r="L1443" i="1" a="1"/>
  <c r="L1443" i="1" s="1"/>
  <c r="K1444" i="1" a="1"/>
  <c r="K1444" i="1" s="1"/>
  <c r="K1440" i="1" a="1"/>
  <c r="K1440" i="1" s="1"/>
  <c r="J1445" i="1" a="1"/>
  <c r="J1445" i="1" s="1"/>
  <c r="K1447" i="1" a="1"/>
  <c r="K1447" i="1" s="1"/>
  <c r="L1445" i="1" a="1"/>
  <c r="L1445" i="1" s="1"/>
  <c r="L1446" i="1" a="1"/>
  <c r="L1446" i="1" s="1"/>
  <c r="J1444" i="1" a="1"/>
  <c r="J1444" i="1" s="1"/>
  <c r="J1441" i="1" a="1"/>
  <c r="J1441" i="1" s="1"/>
  <c r="L1444" i="1" a="1"/>
  <c r="L1444" i="1" s="1"/>
  <c r="L1441" i="1" a="1"/>
  <c r="L1441" i="1" s="1"/>
  <c r="J1442" i="1" a="1"/>
  <c r="J1442" i="1" s="1"/>
  <c r="L1447" i="1" a="1"/>
  <c r="L1447" i="1" s="1"/>
  <c r="J1447" i="1" a="1"/>
  <c r="J1447" i="1" s="1"/>
  <c r="K1445" i="1" a="1"/>
  <c r="K1445" i="1" s="1"/>
  <c r="K1441" i="1" a="1"/>
  <c r="K1441" i="1" s="1"/>
  <c r="L1440" i="1" a="1"/>
  <c r="L1440" i="1" s="1"/>
  <c r="J1443" i="1" a="1"/>
  <c r="J1443" i="1" s="1"/>
  <c r="K1446" i="1" a="1"/>
  <c r="K1446" i="1" s="1"/>
  <c r="J1446" i="1" a="1"/>
  <c r="J1446" i="1" s="1"/>
  <c r="L1434" i="1" a="1"/>
  <c r="L1434" i="1" s="1"/>
  <c r="K1431" i="1" a="1"/>
  <c r="K1431" i="1" s="1"/>
  <c r="L1432" i="1" a="1"/>
  <c r="L1432" i="1" s="1"/>
  <c r="J1433" i="1" a="1"/>
  <c r="J1433" i="1" s="1"/>
  <c r="K1430" i="1" a="1"/>
  <c r="K1430" i="1" s="1"/>
  <c r="K1438" i="1" a="1"/>
  <c r="K1438" i="1" s="1"/>
  <c r="L1431" i="1" a="1"/>
  <c r="L1431" i="1" s="1"/>
  <c r="L1436" i="1" a="1"/>
  <c r="L1436" i="1" s="1"/>
  <c r="L1433" i="1" a="1"/>
  <c r="L1433" i="1" s="1"/>
  <c r="J1438" i="1" a="1"/>
  <c r="J1438" i="1" s="1"/>
  <c r="L1430" i="1" a="1"/>
  <c r="L1430" i="1" s="1"/>
  <c r="J1437" i="1" a="1"/>
  <c r="J1437" i="1" s="1"/>
  <c r="J1432" i="1" a="1"/>
  <c r="J1432" i="1" s="1"/>
  <c r="L1437" i="1" a="1"/>
  <c r="L1437" i="1" s="1"/>
  <c r="K1433" i="1" a="1"/>
  <c r="K1433" i="1" s="1"/>
  <c r="K1434" i="1" a="1"/>
  <c r="K1434" i="1" s="1"/>
  <c r="K1432" i="1" a="1"/>
  <c r="K1432" i="1" s="1"/>
  <c r="J1431" i="1" a="1"/>
  <c r="J1431" i="1" s="1"/>
  <c r="J1430" i="1" a="1"/>
  <c r="J1430" i="1" s="1"/>
  <c r="K1436" i="1" a="1"/>
  <c r="K1436" i="1" s="1"/>
  <c r="K1437" i="1" a="1"/>
  <c r="K1437" i="1" s="1"/>
  <c r="L1438" i="1" a="1"/>
  <c r="L1438" i="1" s="1"/>
  <c r="J1436" i="1" a="1"/>
  <c r="J1436" i="1" s="1"/>
  <c r="J1434" i="1" a="1"/>
  <c r="J1434" i="1" s="1"/>
  <c r="L1419" i="1" a="1"/>
  <c r="L1419" i="1" s="1"/>
  <c r="L1422" i="1" a="1"/>
  <c r="L1422" i="1" s="1"/>
  <c r="K1420" i="1" a="1"/>
  <c r="K1420" i="1" s="1"/>
  <c r="L1420" i="1" a="1"/>
  <c r="L1420" i="1" s="1"/>
  <c r="J1421" i="1" a="1"/>
  <c r="J1421" i="1" s="1"/>
  <c r="J1422" i="1" a="1"/>
  <c r="J1422" i="1" s="1"/>
  <c r="L1421" i="1" a="1"/>
  <c r="L1421" i="1" s="1"/>
  <c r="L1424" i="1" a="1"/>
  <c r="L1424" i="1" s="1"/>
  <c r="K1419" i="1" a="1"/>
  <c r="K1419" i="1" s="1"/>
  <c r="L1423" i="1" a="1"/>
  <c r="L1423" i="1" s="1"/>
  <c r="J1424" i="1" a="1"/>
  <c r="J1424" i="1" s="1"/>
  <c r="K1421" i="1" a="1"/>
  <c r="K1421" i="1" s="1"/>
  <c r="J1419" i="1" a="1"/>
  <c r="J1419" i="1" s="1"/>
  <c r="J1420" i="1" a="1"/>
  <c r="J1420" i="1" s="1"/>
  <c r="K1424" i="1" a="1"/>
  <c r="K1424" i="1" s="1"/>
  <c r="K1423" i="1" a="1"/>
  <c r="K1423" i="1" s="1"/>
  <c r="K1422" i="1" a="1"/>
  <c r="K1422" i="1" s="1"/>
  <c r="J1423" i="1" a="1"/>
  <c r="J1423" i="1" s="1"/>
  <c r="L1416" i="1" a="1"/>
  <c r="L1416" i="1" s="1"/>
  <c r="K1417" i="1" a="1"/>
  <c r="K1417" i="1" s="1"/>
  <c r="J1416" i="1" a="1"/>
  <c r="J1416" i="1" s="1"/>
  <c r="K1410" i="1" a="1"/>
  <c r="K1410" i="1" s="1"/>
  <c r="J1409" i="1" a="1"/>
  <c r="J1409" i="1" s="1"/>
  <c r="J1410" i="1" a="1"/>
  <c r="J1410" i="1" s="1"/>
  <c r="L1407" i="1" a="1"/>
  <c r="L1407" i="1" s="1"/>
  <c r="J1408" i="1" a="1"/>
  <c r="J1408" i="1" s="1"/>
  <c r="J1418" i="1" a="1"/>
  <c r="J1418" i="1" s="1"/>
  <c r="L1409" i="1" a="1"/>
  <c r="L1409" i="1" s="1"/>
  <c r="K1407" i="1" a="1"/>
  <c r="K1407" i="1" s="1"/>
  <c r="K1409" i="1" a="1"/>
  <c r="K1409" i="1" s="1"/>
  <c r="L1408" i="1" a="1"/>
  <c r="L1408" i="1" s="1"/>
  <c r="L1410" i="1" a="1"/>
  <c r="L1410" i="1" s="1"/>
  <c r="J1417" i="1" a="1"/>
  <c r="J1417" i="1" s="1"/>
  <c r="J1407" i="1" a="1"/>
  <c r="J1407" i="1" s="1"/>
  <c r="K1416" i="1" a="1"/>
  <c r="K1416" i="1" s="1"/>
  <c r="K1408" i="1" a="1"/>
  <c r="K1408" i="1" s="1"/>
  <c r="L1418" i="1" a="1"/>
  <c r="L1418" i="1" s="1"/>
  <c r="K1418" i="1" a="1"/>
  <c r="K1418" i="1" s="1"/>
  <c r="L1417" i="1" a="1"/>
  <c r="L1417" i="1" s="1"/>
  <c r="L1403" i="1" a="1"/>
  <c r="L1403" i="1" s="1"/>
  <c r="J1401" i="1" a="1"/>
  <c r="J1401" i="1" s="1"/>
  <c r="J1405" i="1" a="1"/>
  <c r="J1405" i="1" s="1"/>
  <c r="L1402" i="1" a="1"/>
  <c r="L1402" i="1" s="1"/>
  <c r="L1401" i="1" a="1"/>
  <c r="L1401" i="1" s="1"/>
  <c r="L1404" i="1" a="1"/>
  <c r="L1404" i="1" s="1"/>
  <c r="K1403" i="1" a="1"/>
  <c r="K1403" i="1" s="1"/>
  <c r="K1402" i="1" a="1"/>
  <c r="K1402" i="1" s="1"/>
  <c r="K1404" i="1" a="1"/>
  <c r="K1404" i="1" s="1"/>
  <c r="J1403" i="1" a="1"/>
  <c r="J1403" i="1" s="1"/>
  <c r="J1402" i="1" a="1"/>
  <c r="J1402" i="1" s="1"/>
  <c r="L1405" i="1" a="1"/>
  <c r="L1405" i="1" s="1"/>
  <c r="J1404" i="1" a="1"/>
  <c r="J1404" i="1" s="1"/>
  <c r="K1401" i="1" a="1"/>
  <c r="K1401" i="1" s="1"/>
  <c r="K1405" i="1" a="1"/>
  <c r="K1405" i="1" s="1"/>
  <c r="L1372" i="1" a="1"/>
  <c r="L1372" i="1" s="1"/>
  <c r="L1373" i="1" a="1"/>
  <c r="L1373" i="1" s="1"/>
  <c r="J1374" i="1" a="1"/>
  <c r="J1374" i="1" s="1"/>
  <c r="K1374" i="1" a="1"/>
  <c r="K1374" i="1" s="1"/>
  <c r="L1371" i="1" a="1"/>
  <c r="L1371" i="1" s="1"/>
  <c r="J1371" i="1" a="1"/>
  <c r="J1371" i="1" s="1"/>
  <c r="L1374" i="1" a="1"/>
  <c r="L1374" i="1" s="1"/>
  <c r="K1371" i="1" a="1"/>
  <c r="K1371" i="1" s="1"/>
  <c r="J1373" i="1" a="1"/>
  <c r="J1373" i="1" s="1"/>
  <c r="K1372" i="1" a="1"/>
  <c r="K1372" i="1" s="1"/>
  <c r="J1372" i="1" a="1"/>
  <c r="J1372" i="1" s="1"/>
  <c r="K1373" i="1" a="1"/>
  <c r="K1373" i="1" s="1"/>
  <c r="K1367" i="1" a="1"/>
  <c r="K1367" i="1" s="1"/>
  <c r="K1362" i="1" a="1"/>
  <c r="K1362" i="1" s="1"/>
  <c r="J1365" i="1" a="1"/>
  <c r="J1365" i="1" s="1"/>
  <c r="J1367" i="1" a="1"/>
  <c r="J1367" i="1" s="1"/>
  <c r="L1368" i="1" a="1"/>
  <c r="L1368" i="1" s="1"/>
  <c r="J1363" i="1" a="1"/>
  <c r="J1363" i="1" s="1"/>
  <c r="L1365" i="1" a="1"/>
  <c r="L1365" i="1" s="1"/>
  <c r="K1366" i="1" a="1"/>
  <c r="K1366" i="1" s="1"/>
  <c r="J1369" i="1" a="1"/>
  <c r="J1369" i="1" s="1"/>
  <c r="K1369" i="1" a="1"/>
  <c r="K1369" i="1" s="1"/>
  <c r="K1365" i="1" a="1"/>
  <c r="K1365" i="1" s="1"/>
  <c r="L1366" i="1" a="1"/>
  <c r="L1366" i="1" s="1"/>
  <c r="K1364" i="1" a="1"/>
  <c r="K1364" i="1" s="1"/>
  <c r="K1363" i="1" a="1"/>
  <c r="K1363" i="1" s="1"/>
  <c r="L1369" i="1" a="1"/>
  <c r="L1369" i="1" s="1"/>
  <c r="K1368" i="1" a="1"/>
  <c r="K1368" i="1" s="1"/>
  <c r="J1368" i="1" a="1"/>
  <c r="J1368" i="1" s="1"/>
  <c r="L1363" i="1" a="1"/>
  <c r="L1363" i="1" s="1"/>
  <c r="J1362" i="1" a="1"/>
  <c r="J1362" i="1" s="1"/>
  <c r="L1367" i="1" a="1"/>
  <c r="L1367" i="1" s="1"/>
  <c r="L1370" i="1" a="1"/>
  <c r="L1370" i="1" s="1"/>
  <c r="L1364" i="1" a="1"/>
  <c r="L1364" i="1" s="1"/>
  <c r="J1364" i="1" a="1"/>
  <c r="J1364" i="1" s="1"/>
  <c r="J1370" i="1" a="1"/>
  <c r="J1370" i="1" s="1"/>
  <c r="J1366" i="1" a="1"/>
  <c r="J1366" i="1" s="1"/>
  <c r="L1362" i="1" a="1"/>
  <c r="L1362" i="1" s="1"/>
  <c r="K1370" i="1" a="1"/>
  <c r="K1370" i="1" s="1"/>
  <c r="L1361" i="1" a="1"/>
  <c r="L1361" i="1" s="1"/>
  <c r="L1355" i="1" a="1"/>
  <c r="L1355" i="1" s="1"/>
  <c r="J1354" i="1" a="1"/>
  <c r="J1354" i="1" s="1"/>
  <c r="J1361" i="1" a="1"/>
  <c r="J1361" i="1" s="1"/>
  <c r="J1360" i="1" a="1"/>
  <c r="J1360" i="1" s="1"/>
  <c r="L1359" i="1" a="1"/>
  <c r="L1359" i="1" s="1"/>
  <c r="K1358" i="1" a="1"/>
  <c r="K1358" i="1" s="1"/>
  <c r="J1357" i="1" a="1"/>
  <c r="J1357" i="1" s="1"/>
  <c r="L1356" i="1" a="1"/>
  <c r="L1356" i="1" s="1"/>
  <c r="K1354" i="1" a="1"/>
  <c r="K1354" i="1" s="1"/>
  <c r="L1353" i="1" a="1"/>
  <c r="L1353" i="1" s="1"/>
  <c r="K1353" i="1" a="1"/>
  <c r="K1353" i="1" s="1"/>
  <c r="L1354" i="1" a="1"/>
  <c r="L1354" i="1" s="1"/>
  <c r="K1361" i="1" a="1"/>
  <c r="K1361" i="1" s="1"/>
  <c r="K1360" i="1" a="1"/>
  <c r="K1360" i="1" s="1"/>
  <c r="L1358" i="1" a="1"/>
  <c r="L1358" i="1" s="1"/>
  <c r="L1357" i="1" a="1"/>
  <c r="L1357" i="1" s="1"/>
  <c r="K1356" i="1" a="1"/>
  <c r="K1356" i="1" s="1"/>
  <c r="K1359" i="1" a="1"/>
  <c r="K1359" i="1" s="1"/>
  <c r="K1357" i="1" a="1"/>
  <c r="K1357" i="1" s="1"/>
  <c r="J1356" i="1" a="1"/>
  <c r="J1356" i="1" s="1"/>
  <c r="J1355" i="1" a="1"/>
  <c r="J1355" i="1" s="1"/>
  <c r="J1358" i="1" a="1"/>
  <c r="J1358" i="1" s="1"/>
  <c r="L1360" i="1" a="1"/>
  <c r="L1360" i="1" s="1"/>
  <c r="J1359" i="1" a="1"/>
  <c r="J1359" i="1" s="1"/>
  <c r="K1355" i="1" a="1"/>
  <c r="K1355" i="1" s="1"/>
  <c r="J1353" i="1" a="1"/>
  <c r="J1353" i="1" s="1"/>
  <c r="K1352" i="1" a="1"/>
  <c r="K1352" i="1" s="1"/>
  <c r="L1346" i="1" a="1"/>
  <c r="L1346" i="1" s="1"/>
  <c r="K1350" i="1" a="1"/>
  <c r="K1350" i="1" s="1"/>
  <c r="K1347" i="1" a="1"/>
  <c r="K1347" i="1" s="1"/>
  <c r="L1348" i="1" a="1"/>
  <c r="L1348" i="1" s="1"/>
  <c r="L1352" i="1" a="1"/>
  <c r="L1352" i="1" s="1"/>
  <c r="J1352" i="1" a="1"/>
  <c r="J1352" i="1" s="1"/>
  <c r="J1349" i="1" a="1"/>
  <c r="J1349" i="1" s="1"/>
  <c r="J1350" i="1" a="1"/>
  <c r="J1350" i="1" s="1"/>
  <c r="K1349" i="1" a="1"/>
  <c r="K1349" i="1" s="1"/>
  <c r="J1348" i="1" a="1"/>
  <c r="J1348" i="1" s="1"/>
  <c r="K1348" i="1" a="1"/>
  <c r="K1348" i="1" s="1"/>
  <c r="J1346" i="1" a="1"/>
  <c r="J1346" i="1" s="1"/>
  <c r="L1350" i="1" a="1"/>
  <c r="L1350" i="1" s="1"/>
  <c r="L1347" i="1" a="1"/>
  <c r="L1347" i="1" s="1"/>
  <c r="J1347" i="1" a="1"/>
  <c r="J1347" i="1" s="1"/>
  <c r="K1346" i="1" a="1"/>
  <c r="K1346" i="1" s="1"/>
  <c r="L1349" i="1" a="1"/>
  <c r="L1349" i="1" s="1"/>
  <c r="K1675" i="1" a="1"/>
  <c r="K1675" i="1" s="1"/>
  <c r="K1676" i="1" a="1"/>
  <c r="K1676" i="1" s="1"/>
  <c r="L1676" i="1" a="1"/>
  <c r="L1676" i="1" s="1"/>
  <c r="J1676" i="1" a="1"/>
  <c r="J1676" i="1" s="1"/>
  <c r="J1675" i="1" a="1"/>
  <c r="J1675" i="1" s="1"/>
  <c r="L1675" i="1" a="1"/>
  <c r="L1675" i="1" s="1"/>
  <c r="L1673" i="1" a="1"/>
  <c r="L1673" i="1" s="1"/>
  <c r="J1673" i="1" a="1"/>
  <c r="J1673" i="1" s="1"/>
  <c r="J1667" i="1" a="1"/>
  <c r="J1667" i="1" s="1"/>
  <c r="L1667" i="1" a="1"/>
  <c r="L1667" i="1" s="1"/>
  <c r="L1668" i="1" a="1"/>
  <c r="L1668" i="1" s="1"/>
  <c r="K1672" i="1" a="1"/>
  <c r="K1672" i="1" s="1"/>
  <c r="J1671" i="1" a="1"/>
  <c r="J1671" i="1" s="1"/>
  <c r="K1668" i="1" a="1"/>
  <c r="K1668" i="1" s="1"/>
  <c r="K1669" i="1" a="1"/>
  <c r="K1669" i="1" s="1"/>
  <c r="L1674" i="1" a="1"/>
  <c r="L1674" i="1" s="1"/>
  <c r="L1672" i="1" a="1"/>
  <c r="L1672" i="1" s="1"/>
  <c r="K1674" i="1" a="1"/>
  <c r="K1674" i="1" s="1"/>
  <c r="J1674" i="1" a="1"/>
  <c r="J1674" i="1" s="1"/>
  <c r="K1670" i="1" a="1"/>
  <c r="K1670" i="1" s="1"/>
  <c r="J1672" i="1" a="1"/>
  <c r="J1672" i="1" s="1"/>
  <c r="J1669" i="1" a="1"/>
  <c r="J1669" i="1" s="1"/>
  <c r="L1669" i="1" a="1"/>
  <c r="L1669" i="1" s="1"/>
  <c r="K1667" i="1" a="1"/>
  <c r="K1667" i="1" s="1"/>
  <c r="J1670" i="1" a="1"/>
  <c r="J1670" i="1" s="1"/>
  <c r="L1671" i="1" a="1"/>
  <c r="L1671" i="1" s="1"/>
  <c r="K1671" i="1" a="1"/>
  <c r="K1671" i="1" s="1"/>
  <c r="J1668" i="1" a="1"/>
  <c r="J1668" i="1" s="1"/>
  <c r="K1673" i="1" a="1"/>
  <c r="K1673" i="1" s="1"/>
  <c r="L1670" i="1" a="1"/>
  <c r="L1670" i="1" s="1"/>
  <c r="L1660" i="1" a="1"/>
  <c r="L1660" i="1" s="1"/>
  <c r="J1661" i="1" a="1"/>
  <c r="J1661" i="1" s="1"/>
  <c r="L1654" i="1" a="1"/>
  <c r="L1654" i="1" s="1"/>
  <c r="L1662" i="1" a="1"/>
  <c r="L1662" i="1" s="1"/>
  <c r="K1662" i="1" a="1"/>
  <c r="K1662" i="1" s="1"/>
  <c r="L1661" i="1" a="1"/>
  <c r="L1661" i="1" s="1"/>
  <c r="K1660" i="1" a="1"/>
  <c r="K1660" i="1" s="1"/>
  <c r="J1660" i="1" a="1"/>
  <c r="J1660" i="1" s="1"/>
  <c r="K1654" i="1" a="1"/>
  <c r="K1654" i="1" s="1"/>
  <c r="J1662" i="1" a="1"/>
  <c r="J1662" i="1" s="1"/>
  <c r="K1661" i="1" a="1"/>
  <c r="K1661" i="1" s="1"/>
  <c r="L1647" i="1" a="1"/>
  <c r="L1647" i="1" s="1"/>
  <c r="K1647" i="1" a="1"/>
  <c r="K1647" i="1" s="1"/>
  <c r="J1654" i="1" a="1"/>
  <c r="J1654" i="1" s="1"/>
  <c r="K1629" i="1" a="1"/>
  <c r="K1629" i="1" s="1"/>
  <c r="J1642" i="1" a="1"/>
  <c r="J1642" i="1" s="1"/>
  <c r="J1647" i="1" a="1"/>
  <c r="J1647" i="1" s="1"/>
  <c r="K1646" i="1" a="1"/>
  <c r="K1646" i="1" s="1"/>
  <c r="J1646" i="1" a="1"/>
  <c r="J1646" i="1" s="1"/>
  <c r="K1642" i="1" a="1"/>
  <c r="K1642" i="1" s="1"/>
  <c r="L1646" i="1" a="1"/>
  <c r="L1646" i="1" s="1"/>
  <c r="L1629" i="1" a="1"/>
  <c r="L1629" i="1" s="1"/>
  <c r="L1642" i="1" a="1"/>
  <c r="L1642" i="1" s="1"/>
  <c r="L1643" i="1" a="1"/>
  <c r="L1643" i="1" s="1"/>
  <c r="K1643" i="1" a="1"/>
  <c r="K1643" i="1" s="1"/>
  <c r="J1643" i="1" a="1"/>
  <c r="J1643" i="1" s="1"/>
  <c r="K1627" i="1" a="1"/>
  <c r="K1627" i="1" s="1"/>
  <c r="L1626" i="1" a="1"/>
  <c r="L1626" i="1" s="1"/>
  <c r="J1621" i="1" a="1"/>
  <c r="J1621" i="1" s="1"/>
  <c r="J1624" i="1" a="1"/>
  <c r="J1624" i="1" s="1"/>
  <c r="L1622" i="1" a="1"/>
  <c r="L1622" i="1" s="1"/>
  <c r="J1626" i="1" a="1"/>
  <c r="J1626" i="1" s="1"/>
  <c r="J1625" i="1" a="1"/>
  <c r="J1625" i="1" s="1"/>
  <c r="K1626" i="1" a="1"/>
  <c r="K1626" i="1" s="1"/>
  <c r="K1623" i="1" a="1"/>
  <c r="K1623" i="1" s="1"/>
  <c r="K1624" i="1" a="1"/>
  <c r="K1624" i="1" s="1"/>
  <c r="L1624" i="1" a="1"/>
  <c r="L1624" i="1" s="1"/>
  <c r="J1629" i="1" a="1"/>
  <c r="J1629" i="1" s="1"/>
  <c r="L1627" i="1" a="1"/>
  <c r="L1627" i="1" s="1"/>
  <c r="L1623" i="1" a="1"/>
  <c r="L1623" i="1" s="1"/>
  <c r="J1623" i="1" a="1"/>
  <c r="J1623" i="1" s="1"/>
  <c r="K1621" i="1" a="1"/>
  <c r="K1621" i="1" s="1"/>
  <c r="K1625" i="1" a="1"/>
  <c r="K1625" i="1" s="1"/>
  <c r="L1625" i="1" a="1"/>
  <c r="L1625" i="1" s="1"/>
  <c r="J1622" i="1" a="1"/>
  <c r="J1622" i="1" s="1"/>
  <c r="K1622" i="1" a="1"/>
  <c r="K1622" i="1" s="1"/>
  <c r="L1621" i="1" a="1"/>
  <c r="L1621" i="1" s="1"/>
  <c r="K1628" i="1" a="1"/>
  <c r="K1628" i="1" s="1"/>
  <c r="L1628" i="1" a="1"/>
  <c r="L1628" i="1" s="1"/>
  <c r="J1627" i="1" a="1"/>
  <c r="J1627" i="1" s="1"/>
  <c r="J1628" i="1" a="1"/>
  <c r="J1628" i="1" s="1"/>
  <c r="L1613" i="1" a="1"/>
  <c r="L1613" i="1" s="1"/>
  <c r="K1613" i="1" a="1"/>
  <c r="K1613" i="1" s="1"/>
  <c r="J1604" i="1" a="1"/>
  <c r="J1604" i="1" s="1"/>
  <c r="L1611" i="1" a="1"/>
  <c r="L1611" i="1" s="1"/>
  <c r="K1612" i="1" a="1"/>
  <c r="K1612" i="1" s="1"/>
  <c r="K1611" i="1" a="1"/>
  <c r="K1611" i="1" s="1"/>
  <c r="L1605" i="1" a="1"/>
  <c r="L1605" i="1" s="1"/>
  <c r="J1611" i="1" a="1"/>
  <c r="J1611" i="1" s="1"/>
  <c r="L1612" i="1" a="1"/>
  <c r="L1612" i="1" s="1"/>
  <c r="J1613" i="1" a="1"/>
  <c r="J1613" i="1" s="1"/>
  <c r="L1604" i="1" a="1"/>
  <c r="L1604" i="1" s="1"/>
  <c r="J1612" i="1" a="1"/>
  <c r="J1612" i="1" s="1"/>
  <c r="J1605" i="1" a="1"/>
  <c r="J1605" i="1" s="1"/>
  <c r="K1605" i="1" a="1"/>
  <c r="K1605" i="1" s="1"/>
  <c r="L1619" i="1" a="1"/>
  <c r="L1619" i="1" s="1"/>
  <c r="K1604" i="1" a="1"/>
  <c r="K1604" i="1" s="1"/>
  <c r="K1619" i="1" a="1"/>
  <c r="K1619" i="1" s="1"/>
  <c r="J1619" i="1" a="1"/>
  <c r="J1619" i="1" s="1"/>
  <c r="K1595" i="1" a="1"/>
  <c r="K1595" i="1" s="1"/>
  <c r="J1596" i="1" a="1"/>
  <c r="J1596" i="1" s="1"/>
  <c r="J1598" i="1" a="1"/>
  <c r="J1598" i="1" s="1"/>
  <c r="J1595" i="1" a="1"/>
  <c r="J1595" i="1" s="1"/>
  <c r="L1595" i="1" a="1"/>
  <c r="L1595" i="1" s="1"/>
  <c r="K1596" i="1" a="1"/>
  <c r="K1596" i="1" s="1"/>
  <c r="L1596" i="1" a="1"/>
  <c r="L1596" i="1" s="1"/>
  <c r="L1598" i="1" a="1"/>
  <c r="L1598" i="1" s="1"/>
  <c r="K1598" i="1" a="1"/>
  <c r="K1598" i="1" s="1"/>
  <c r="J1580" i="1" a="1"/>
  <c r="J1580" i="1" s="1"/>
  <c r="L1580" i="1" a="1"/>
  <c r="L1580" i="1" s="1"/>
  <c r="L1577" i="1" a="1"/>
  <c r="L1577" i="1" s="1"/>
  <c r="J1582" i="1" a="1"/>
  <c r="J1582" i="1" s="1"/>
  <c r="K1576" i="1" a="1"/>
  <c r="K1576" i="1" s="1"/>
  <c r="K1579" i="1" a="1"/>
  <c r="K1579" i="1" s="1"/>
  <c r="K1575" i="1" a="1"/>
  <c r="K1575" i="1" s="1"/>
  <c r="K1578" i="1" a="1"/>
  <c r="K1578" i="1" s="1"/>
  <c r="J1577" i="1" a="1"/>
  <c r="J1577" i="1" s="1"/>
  <c r="J1579" i="1" a="1"/>
  <c r="J1579" i="1" s="1"/>
  <c r="K1581" i="1" a="1"/>
  <c r="K1581" i="1" s="1"/>
  <c r="J1576" i="1" a="1"/>
  <c r="J1576" i="1" s="1"/>
  <c r="L1576" i="1" a="1"/>
  <c r="L1576" i="1" s="1"/>
  <c r="J1581" i="1" a="1"/>
  <c r="J1581" i="1" s="1"/>
  <c r="L1578" i="1" a="1"/>
  <c r="L1578" i="1" s="1"/>
  <c r="L1575" i="1" a="1"/>
  <c r="L1575" i="1" s="1"/>
  <c r="L1579" i="1" a="1"/>
  <c r="L1579" i="1" s="1"/>
  <c r="L1582" i="1" a="1"/>
  <c r="L1582" i="1" s="1"/>
  <c r="K1580" i="1" a="1"/>
  <c r="K1580" i="1" s="1"/>
  <c r="K1577" i="1" a="1"/>
  <c r="K1577" i="1" s="1"/>
  <c r="L1581" i="1" a="1"/>
  <c r="L1581" i="1" s="1"/>
  <c r="J1578" i="1" a="1"/>
  <c r="J1578" i="1" s="1"/>
  <c r="K1582" i="1" a="1"/>
  <c r="K1582" i="1" s="1"/>
  <c r="J1565" i="1" a="1"/>
  <c r="J1565" i="1" s="1"/>
  <c r="K1564" i="1" a="1"/>
  <c r="K1564" i="1" s="1"/>
  <c r="K1572" i="1" a="1"/>
  <c r="K1572" i="1" s="1"/>
  <c r="L1565" i="1" a="1"/>
  <c r="L1565" i="1" s="1"/>
  <c r="L1572" i="1" a="1"/>
  <c r="L1572" i="1" s="1"/>
  <c r="K1566" i="1" a="1"/>
  <c r="K1566" i="1" s="1"/>
  <c r="J1566" i="1" a="1"/>
  <c r="J1566" i="1" s="1"/>
  <c r="J1572" i="1" a="1"/>
  <c r="J1572" i="1" s="1"/>
  <c r="L1566" i="1" a="1"/>
  <c r="L1566" i="1" s="1"/>
  <c r="J1564" i="1" a="1"/>
  <c r="J1564" i="1" s="1"/>
  <c r="L1564" i="1" a="1"/>
  <c r="L1564" i="1" s="1"/>
  <c r="J1575" i="1" a="1"/>
  <c r="J1575" i="1" s="1"/>
  <c r="L1574" i="1" a="1"/>
  <c r="L1574" i="1" s="1"/>
  <c r="K1574" i="1" a="1"/>
  <c r="K1574" i="1" s="1"/>
  <c r="J1574" i="1" a="1"/>
  <c r="J1574" i="1" s="1"/>
  <c r="K1565" i="1" a="1"/>
  <c r="K1565" i="1" s="1"/>
  <c r="L1558" i="1" a="1"/>
  <c r="L1558" i="1" s="1"/>
  <c r="K1551" i="1" a="1"/>
  <c r="K1551" i="1" s="1"/>
  <c r="K1558" i="1" a="1"/>
  <c r="K1558" i="1" s="1"/>
  <c r="J1558" i="1" a="1"/>
  <c r="J1558" i="1" s="1"/>
  <c r="J1548" i="1" a="1"/>
  <c r="J1548" i="1" s="1"/>
  <c r="L1549" i="1" a="1"/>
  <c r="L1549" i="1" s="1"/>
  <c r="K1549" i="1" a="1"/>
  <c r="K1549" i="1" s="1"/>
  <c r="J1551" i="1" a="1"/>
  <c r="J1551" i="1" s="1"/>
  <c r="J1549" i="1" a="1"/>
  <c r="J1549" i="1" s="1"/>
  <c r="K1548" i="1" a="1"/>
  <c r="K1548" i="1" s="1"/>
  <c r="L1548" i="1" a="1"/>
  <c r="L1548" i="1" s="1"/>
  <c r="K1557" i="1" a="1"/>
  <c r="K1557" i="1" s="1"/>
  <c r="L1557" i="1" a="1"/>
  <c r="L1557" i="1" s="1"/>
  <c r="J1557" i="1" a="1"/>
  <c r="J1557" i="1" s="1"/>
  <c r="L1551" i="1" a="1"/>
  <c r="L1551" i="1" s="1"/>
  <c r="K1531" i="1" a="1"/>
  <c r="K1531" i="1" s="1"/>
  <c r="L1531" i="1" a="1"/>
  <c r="L1531" i="1" s="1"/>
  <c r="J1531" i="1" a="1"/>
  <c r="J1531" i="1" s="1"/>
  <c r="J1529" i="1" a="1"/>
  <c r="J1529" i="1" s="1"/>
  <c r="J1530" i="1" a="1"/>
  <c r="J1530" i="1" s="1"/>
  <c r="L1530" i="1" a="1"/>
  <c r="L1530" i="1" s="1"/>
  <c r="K1530" i="1" a="1"/>
  <c r="K1530" i="1" s="1"/>
  <c r="L1529" i="1" a="1"/>
  <c r="L1529" i="1" s="1"/>
  <c r="K1529" i="1" a="1"/>
  <c r="K1529" i="1" s="1"/>
  <c r="K1520" i="1" a="1"/>
  <c r="K1520" i="1" s="1"/>
  <c r="K1528" i="1" a="1"/>
  <c r="K1528" i="1" s="1"/>
  <c r="J1528" i="1" a="1"/>
  <c r="J1528" i="1" s="1"/>
  <c r="K1523" i="1" a="1"/>
  <c r="K1523" i="1" s="1"/>
  <c r="J1527" i="1" a="1"/>
  <c r="J1527" i="1" s="1"/>
  <c r="K1526" i="1" a="1"/>
  <c r="K1526" i="1" s="1"/>
  <c r="L1524" i="1" a="1"/>
  <c r="L1524" i="1" s="1"/>
  <c r="L1523" i="1" a="1"/>
  <c r="L1523" i="1" s="1"/>
  <c r="L1521" i="1" a="1"/>
  <c r="L1521" i="1" s="1"/>
  <c r="J1520" i="1" a="1"/>
  <c r="J1520" i="1" s="1"/>
  <c r="L1527" i="1" a="1"/>
  <c r="L1527" i="1" s="1"/>
  <c r="L1525" i="1" a="1"/>
  <c r="L1525" i="1" s="1"/>
  <c r="K1524" i="1" a="1"/>
  <c r="K1524" i="1" s="1"/>
  <c r="K1522" i="1" a="1"/>
  <c r="K1522" i="1" s="1"/>
  <c r="J1522" i="1" a="1"/>
  <c r="J1522" i="1" s="1"/>
  <c r="K1527" i="1" a="1"/>
  <c r="K1527" i="1" s="1"/>
  <c r="L1520" i="1" a="1"/>
  <c r="L1520" i="1" s="1"/>
  <c r="J1526" i="1" a="1"/>
  <c r="J1526" i="1" s="1"/>
  <c r="L1526" i="1" a="1"/>
  <c r="L1526" i="1" s="1"/>
  <c r="K1525" i="1" a="1"/>
  <c r="K1525" i="1" s="1"/>
  <c r="J1525" i="1" a="1"/>
  <c r="J1525" i="1" s="1"/>
  <c r="J1521" i="1" a="1"/>
  <c r="J1521" i="1" s="1"/>
  <c r="J1524" i="1" a="1"/>
  <c r="J1524" i="1" s="1"/>
  <c r="L1528" i="1" a="1"/>
  <c r="L1528" i="1" s="1"/>
  <c r="J1523" i="1" a="1"/>
  <c r="J1523" i="1" s="1"/>
  <c r="K1521" i="1" a="1"/>
  <c r="K1521" i="1" s="1"/>
  <c r="L1522" i="1" a="1"/>
  <c r="L1522" i="1" s="1"/>
  <c r="K2015" i="1" a="1"/>
  <c r="K2015" i="1" s="1"/>
  <c r="L2020" i="1" a="1"/>
  <c r="L2020" i="1" s="1"/>
  <c r="K2016" i="1" a="1"/>
  <c r="K2016" i="1" s="1"/>
  <c r="K2017" i="1" s="1" a="1"/>
  <c r="K2017" i="1" s="1"/>
  <c r="L2015" i="1" a="1"/>
  <c r="L2015" i="1" s="1"/>
  <c r="J2018" i="1" a="1"/>
  <c r="J2018" i="1" s="1"/>
  <c r="J2019" i="1" s="1" a="1"/>
  <c r="J2019" i="1" s="1"/>
  <c r="K2020" i="1" a="1"/>
  <c r="K2020" i="1" s="1"/>
  <c r="J2021" i="1" a="1"/>
  <c r="J2021" i="1" s="1"/>
  <c r="L2021" i="1" a="1"/>
  <c r="L2021" i="1" s="1"/>
  <c r="L2016" i="1" a="1"/>
  <c r="L2016" i="1" s="1"/>
  <c r="L2017" i="1" s="1" a="1"/>
  <c r="L2017" i="1" s="1"/>
  <c r="K2018" i="1" a="1"/>
  <c r="K2018" i="1" s="1"/>
  <c r="K2019" i="1" s="1" a="1"/>
  <c r="K2019" i="1" s="1"/>
  <c r="J2016" i="1" a="1"/>
  <c r="J2016" i="1" s="1"/>
  <c r="J2017" i="1" s="1" a="1"/>
  <c r="J2017" i="1" s="1"/>
  <c r="L2018" i="1" a="1"/>
  <c r="L2018" i="1" s="1"/>
  <c r="L2019" i="1" s="1" a="1"/>
  <c r="L2019" i="1" s="1"/>
  <c r="J2020" i="1" a="1"/>
  <c r="J2020" i="1" s="1"/>
  <c r="K2021" i="1" a="1"/>
  <c r="K2021" i="1" s="1"/>
  <c r="K2011" i="1" a="1"/>
  <c r="K2011" i="1" s="1"/>
  <c r="J2010" i="1" a="1"/>
  <c r="J2010" i="1" s="1"/>
  <c r="J2013" i="1" a="1"/>
  <c r="J2013" i="1" s="1"/>
  <c r="J2014" i="1" s="1" a="1"/>
  <c r="J2014" i="1" s="1"/>
  <c r="L2013" i="1" a="1"/>
  <c r="L2013" i="1" s="1"/>
  <c r="L2014" i="1" s="1" a="1"/>
  <c r="L2014" i="1" s="1"/>
  <c r="J2011" i="1" a="1"/>
  <c r="J2011" i="1" s="1"/>
  <c r="K2010" i="1" a="1"/>
  <c r="K2010" i="1" s="1"/>
  <c r="L2011" i="1" a="1"/>
  <c r="L2011" i="1" s="1"/>
  <c r="K2013" i="1" a="1"/>
  <c r="K2013" i="1" s="1"/>
  <c r="K2014" i="1" s="1" a="1"/>
  <c r="K2014" i="1" s="1"/>
  <c r="J2008" i="1" a="1"/>
  <c r="J2008" i="1" s="1"/>
  <c r="J2009" i="1" s="1" a="1"/>
  <c r="J2009" i="1" s="1"/>
  <c r="L2010" i="1" a="1"/>
  <c r="L2010" i="1" s="1"/>
  <c r="J2006" i="1" a="1"/>
  <c r="J2006" i="1" s="1"/>
  <c r="J2007" i="1" s="1" a="1"/>
  <c r="J2007" i="1" s="1"/>
  <c r="K2006" i="1" a="1"/>
  <c r="K2006" i="1" s="1"/>
  <c r="K2007" i="1" s="1" a="1"/>
  <c r="K2007" i="1" s="1"/>
  <c r="K2008" i="1" a="1"/>
  <c r="K2008" i="1" s="1"/>
  <c r="K2009" i="1" s="1" a="1"/>
  <c r="K2009" i="1" s="1"/>
  <c r="J2015" i="1" a="1"/>
  <c r="J2015" i="1" s="1"/>
  <c r="L2008" i="1" a="1"/>
  <c r="L2008" i="1" s="1"/>
  <c r="L2009" i="1" s="1" a="1"/>
  <c r="L2009" i="1" s="1"/>
  <c r="L2006" i="1" a="1"/>
  <c r="L2006" i="1" s="1"/>
  <c r="L2007" i="1" s="1" a="1"/>
  <c r="L2007" i="1" s="1"/>
  <c r="L1999" i="1" a="1"/>
  <c r="L1999" i="1" s="1"/>
  <c r="J1999" i="1" a="1"/>
  <c r="J1999" i="1" s="1"/>
  <c r="K1998" i="1" a="1"/>
  <c r="K1998" i="1" s="1"/>
  <c r="J2001" i="1" a="1"/>
  <c r="J2001" i="1" s="1"/>
  <c r="J2005" i="1" a="1"/>
  <c r="J2005" i="1" s="1"/>
  <c r="J1998" i="1" a="1"/>
  <c r="J1998" i="1" s="1"/>
  <c r="L1997" i="1" a="1"/>
  <c r="L1997" i="1" s="1"/>
  <c r="L1998" i="1" a="1"/>
  <c r="L1998" i="1" s="1"/>
  <c r="L2001" i="1" a="1"/>
  <c r="L2001" i="1" s="1"/>
  <c r="K1999" i="1" a="1"/>
  <c r="K1999" i="1" s="1"/>
  <c r="K2001" i="1" a="1"/>
  <c r="K2001" i="1" s="1"/>
  <c r="K1997" i="1" a="1"/>
  <c r="K1997" i="1" s="1"/>
  <c r="L2005" i="1" a="1"/>
  <c r="L2005" i="1" s="1"/>
  <c r="K2005" i="1" a="1"/>
  <c r="K2005" i="1" s="1"/>
  <c r="L2000" i="1" a="1"/>
  <c r="L2000" i="1" s="1"/>
  <c r="L2003" i="1" a="1"/>
  <c r="L2003" i="1" s="1"/>
  <c r="L2004" i="1" s="1" a="1"/>
  <c r="L2004" i="1" s="1"/>
  <c r="K2003" i="1" a="1"/>
  <c r="K2003" i="1" s="1"/>
  <c r="K2004" i="1" s="1" a="1"/>
  <c r="K2004" i="1" s="1"/>
  <c r="J2003" i="1" a="1"/>
  <c r="J2003" i="1" s="1"/>
  <c r="J2004" i="1" s="1" a="1"/>
  <c r="J2004" i="1" s="1"/>
  <c r="J1997" i="1" a="1"/>
  <c r="J1997" i="1" s="1"/>
  <c r="K2000" i="1" a="1"/>
  <c r="K2000" i="1" s="1"/>
  <c r="J2000" i="1" a="1"/>
  <c r="J2000" i="1" s="1"/>
  <c r="L1989" i="1" a="1"/>
  <c r="L1989" i="1" s="1"/>
  <c r="L1991" i="1" a="1"/>
  <c r="L1991" i="1" s="1"/>
  <c r="K1989" i="1" a="1"/>
  <c r="K1989" i="1" s="1"/>
  <c r="J1993" i="1" a="1"/>
  <c r="J1993" i="1" s="1"/>
  <c r="J1995" i="1" a="1"/>
  <c r="J1995" i="1" s="1"/>
  <c r="J1990" i="1" a="1"/>
  <c r="J1990" i="1" s="1"/>
  <c r="K1994" i="1" a="1"/>
  <c r="K1994" i="1" s="1"/>
  <c r="K1993" i="1" a="1"/>
  <c r="K1993" i="1" s="1"/>
  <c r="L1992" i="1" a="1"/>
  <c r="L1992" i="1" s="1"/>
  <c r="L1990" i="1" a="1"/>
  <c r="L1990" i="1" s="1"/>
  <c r="K1992" i="1" a="1"/>
  <c r="K1992" i="1" s="1"/>
  <c r="J1992" i="1" a="1"/>
  <c r="J1992" i="1" s="1"/>
  <c r="K1990" i="1" a="1"/>
  <c r="K1990" i="1" s="1"/>
  <c r="K1991" i="1" a="1"/>
  <c r="K1991" i="1" s="1"/>
  <c r="J1994" i="1" a="1"/>
  <c r="J1994" i="1" s="1"/>
  <c r="K1988" i="1" a="1"/>
  <c r="K1988" i="1" s="1"/>
  <c r="L1995" i="1" a="1"/>
  <c r="L1995" i="1" s="1"/>
  <c r="L1988" i="1" a="1"/>
  <c r="L1988" i="1" s="1"/>
  <c r="J1989" i="1" a="1"/>
  <c r="J1989" i="1" s="1"/>
  <c r="J1991" i="1" a="1"/>
  <c r="J1991" i="1" s="1"/>
  <c r="L1996" i="1" a="1"/>
  <c r="L1996" i="1" s="1"/>
  <c r="L1994" i="1" a="1"/>
  <c r="L1994" i="1" s="1"/>
  <c r="K1996" i="1" a="1"/>
  <c r="K1996" i="1" s="1"/>
  <c r="J1996" i="1" a="1"/>
  <c r="J1996" i="1" s="1"/>
  <c r="L1993" i="1" a="1"/>
  <c r="L1993" i="1" s="1"/>
  <c r="K1995" i="1" a="1"/>
  <c r="K1995" i="1" s="1"/>
  <c r="J1988" i="1" a="1"/>
  <c r="J1988" i="1" s="1"/>
  <c r="K1987" i="1" a="1"/>
  <c r="K1987" i="1" s="1"/>
  <c r="K1983" i="1" a="1"/>
  <c r="K1983" i="1" s="1"/>
  <c r="K1982" i="1" a="1"/>
  <c r="K1982" i="1" s="1"/>
  <c r="J1980" i="1" a="1"/>
  <c r="J1980" i="1" s="1"/>
  <c r="K1981" i="1" a="1"/>
  <c r="K1981" i="1" s="1"/>
  <c r="L1984" i="1" a="1"/>
  <c r="L1984" i="1" s="1"/>
  <c r="L1982" i="1" a="1"/>
  <c r="L1982" i="1" s="1"/>
  <c r="J1982" i="1" a="1"/>
  <c r="J1982" i="1" s="1"/>
  <c r="J1984" i="1" a="1"/>
  <c r="J1984" i="1" s="1"/>
  <c r="K1980" i="1" a="1"/>
  <c r="K1980" i="1" s="1"/>
  <c r="L1980" i="1" a="1"/>
  <c r="L1980" i="1" s="1"/>
  <c r="J1986" i="1" a="1"/>
  <c r="J1986" i="1" s="1"/>
  <c r="L1987" i="1" a="1"/>
  <c r="L1987" i="1" s="1"/>
  <c r="J1987" i="1" a="1"/>
  <c r="J1987" i="1" s="1"/>
  <c r="K1986" i="1" a="1"/>
  <c r="K1986" i="1" s="1"/>
  <c r="J1985" i="1" a="1"/>
  <c r="J1985" i="1" s="1"/>
  <c r="L1986" i="1" a="1"/>
  <c r="L1986" i="1" s="1"/>
  <c r="L1983" i="1" a="1"/>
  <c r="L1983" i="1" s="1"/>
  <c r="L1981" i="1" a="1"/>
  <c r="L1981" i="1" s="1"/>
  <c r="L1985" i="1" a="1"/>
  <c r="L1985" i="1" s="1"/>
  <c r="K1985" i="1" a="1"/>
  <c r="K1985" i="1" s="1"/>
  <c r="J1981" i="1" a="1"/>
  <c r="J1981" i="1" s="1"/>
  <c r="J1983" i="1" a="1"/>
  <c r="J1983" i="1" s="1"/>
  <c r="K1984" i="1" a="1"/>
  <c r="K1984" i="1" s="1"/>
  <c r="K1979" i="1" a="1"/>
  <c r="K1979" i="1" s="1"/>
  <c r="J1971" i="1" a="1"/>
  <c r="J1971" i="1" s="1"/>
  <c r="J1979" i="1" a="1"/>
  <c r="J1979" i="1" s="1"/>
  <c r="L1972" i="1" a="1"/>
  <c r="L1972" i="1" s="1"/>
  <c r="K1971" i="1" a="1"/>
  <c r="K1971" i="1" s="1"/>
  <c r="L1974" i="1" a="1"/>
  <c r="L1974" i="1" s="1"/>
  <c r="L1973" i="1" a="1"/>
  <c r="L1973" i="1" s="1"/>
  <c r="L1977" i="1" a="1"/>
  <c r="L1977" i="1" s="1"/>
  <c r="K1976" i="1" a="1"/>
  <c r="K1976" i="1" s="1"/>
  <c r="K1977" i="1" a="1"/>
  <c r="K1977" i="1" s="1"/>
  <c r="K1973" i="1" a="1"/>
  <c r="K1973" i="1" s="1"/>
  <c r="J1977" i="1" a="1"/>
  <c r="J1977" i="1" s="1"/>
  <c r="K1974" i="1" a="1"/>
  <c r="K1974" i="1" s="1"/>
  <c r="L1975" i="1" a="1"/>
  <c r="L1975" i="1" s="1"/>
  <c r="L1976" i="1" a="1"/>
  <c r="L1976" i="1" s="1"/>
  <c r="J1976" i="1" a="1"/>
  <c r="J1976" i="1" s="1"/>
  <c r="J1972" i="1" a="1"/>
  <c r="J1972" i="1" s="1"/>
  <c r="K1975" i="1" a="1"/>
  <c r="K1975" i="1" s="1"/>
  <c r="L1971" i="1" a="1"/>
  <c r="L1971" i="1" s="1"/>
  <c r="J1973" i="1" a="1"/>
  <c r="J1973" i="1" s="1"/>
  <c r="J1974" i="1" a="1"/>
  <c r="J1974" i="1" s="1"/>
  <c r="J1975" i="1" a="1"/>
  <c r="J1975" i="1" s="1"/>
  <c r="K1972" i="1" a="1"/>
  <c r="K1972" i="1" s="1"/>
  <c r="L1979" i="1" a="1"/>
  <c r="L1979" i="1" s="1"/>
  <c r="J1968" i="1" a="1"/>
  <c r="J1968" i="1" s="1"/>
  <c r="J1965" i="1" a="1"/>
  <c r="J1965" i="1" s="1"/>
  <c r="L1968" i="1" a="1"/>
  <c r="L1968" i="1" s="1"/>
  <c r="K1969" i="1" a="1"/>
  <c r="K1969" i="1" s="1"/>
  <c r="K1964" i="1" a="1"/>
  <c r="K1964" i="1" s="1"/>
  <c r="K1966" i="1" a="1"/>
  <c r="K1966" i="1" s="1"/>
  <c r="L1966" i="1" a="1"/>
  <c r="L1966" i="1" s="1"/>
  <c r="K1968" i="1" a="1"/>
  <c r="K1968" i="1" s="1"/>
  <c r="J1967" i="1" a="1"/>
  <c r="J1967" i="1" s="1"/>
  <c r="L1962" i="1" a="1"/>
  <c r="L1962" i="1" s="1"/>
  <c r="J1964" i="1" a="1"/>
  <c r="J1964" i="1" s="1"/>
  <c r="J1963" i="1" a="1"/>
  <c r="J1963" i="1" s="1"/>
  <c r="K1962" i="1" a="1"/>
  <c r="K1962" i="1" s="1"/>
  <c r="L1965" i="1" a="1"/>
  <c r="L1965" i="1" s="1"/>
  <c r="L1970" i="1" a="1"/>
  <c r="L1970" i="1" s="1"/>
  <c r="K1970" i="1" a="1"/>
  <c r="K1970" i="1" s="1"/>
  <c r="L1969" i="1" a="1"/>
  <c r="L1969" i="1" s="1"/>
  <c r="K1967" i="1" a="1"/>
  <c r="K1967" i="1" s="1"/>
  <c r="J1970" i="1" a="1"/>
  <c r="J1970" i="1" s="1"/>
  <c r="J1969" i="1" a="1"/>
  <c r="J1969" i="1" s="1"/>
  <c r="K1963" i="1" a="1"/>
  <c r="K1963" i="1" s="1"/>
  <c r="L1964" i="1" a="1"/>
  <c r="L1964" i="1" s="1"/>
  <c r="J1962" i="1" a="1"/>
  <c r="J1962" i="1" s="1"/>
  <c r="K1965" i="1" a="1"/>
  <c r="K1965" i="1" s="1"/>
  <c r="L1963" i="1" a="1"/>
  <c r="L1963" i="1" s="1"/>
  <c r="L1967" i="1" a="1"/>
  <c r="L1967" i="1" s="1"/>
  <c r="J1966" i="1" a="1"/>
  <c r="J1966" i="1" s="1"/>
  <c r="K1956" i="1" a="1"/>
  <c r="K1956" i="1" s="1"/>
  <c r="K1953" i="1" a="1"/>
  <c r="K1953" i="1" s="1"/>
  <c r="L1952" i="1" a="1"/>
  <c r="L1952" i="1" s="1"/>
  <c r="L1953" i="1" a="1"/>
  <c r="L1953" i="1" s="1"/>
  <c r="L1959" i="1" a="1"/>
  <c r="L1959" i="1" s="1"/>
  <c r="J1958" i="1" a="1"/>
  <c r="J1958" i="1" s="1"/>
  <c r="J1953" i="1" a="1"/>
  <c r="J1953" i="1" s="1"/>
  <c r="L1956" i="1" a="1"/>
  <c r="L1956" i="1" s="1"/>
  <c r="J1956" i="1" a="1"/>
  <c r="J1956" i="1" s="1"/>
  <c r="L1955" i="1" a="1"/>
  <c r="L1955" i="1" s="1"/>
  <c r="J1960" i="1" a="1"/>
  <c r="J1960" i="1" s="1"/>
  <c r="K1958" i="1" a="1"/>
  <c r="K1958" i="1" s="1"/>
  <c r="L1958" i="1" a="1"/>
  <c r="L1958" i="1" s="1"/>
  <c r="K1955" i="1" a="1"/>
  <c r="K1955" i="1" s="1"/>
  <c r="J1957" i="1" a="1"/>
  <c r="J1957" i="1" s="1"/>
  <c r="L1957" i="1" a="1"/>
  <c r="L1957" i="1" s="1"/>
  <c r="J1955" i="1" a="1"/>
  <c r="J1955" i="1" s="1"/>
  <c r="K1957" i="1" a="1"/>
  <c r="K1957" i="1" s="1"/>
  <c r="L1961" i="1" a="1"/>
  <c r="L1961" i="1" s="1"/>
  <c r="K1961" i="1" a="1"/>
  <c r="K1961" i="1" s="1"/>
  <c r="J1961" i="1" a="1"/>
  <c r="J1961" i="1" s="1"/>
  <c r="L1960" i="1" a="1"/>
  <c r="L1960" i="1" s="1"/>
  <c r="K1960" i="1" a="1"/>
  <c r="K1960" i="1" s="1"/>
  <c r="K1959" i="1" a="1"/>
  <c r="K1959" i="1" s="1"/>
  <c r="J1959" i="1" a="1"/>
  <c r="J1959" i="1" s="1"/>
  <c r="J1944" i="1" a="1"/>
  <c r="J1944" i="1" s="1"/>
  <c r="L1947" i="1" a="1"/>
  <c r="L1947" i="1" s="1"/>
  <c r="J1951" i="1" a="1"/>
  <c r="J1951" i="1" s="1"/>
  <c r="K1948" i="1" a="1"/>
  <c r="K1948" i="1" s="1"/>
  <c r="K1946" i="1" a="1"/>
  <c r="K1946" i="1" s="1"/>
  <c r="J1946" i="1" a="1"/>
  <c r="J1946" i="1" s="1"/>
  <c r="L1950" i="1" a="1"/>
  <c r="L1950" i="1" s="1"/>
  <c r="K1949" i="1" a="1"/>
  <c r="K1949" i="1" s="1"/>
  <c r="J1948" i="1" a="1"/>
  <c r="J1948" i="1" s="1"/>
  <c r="L1944" i="1" a="1"/>
  <c r="L1944" i="1" s="1"/>
  <c r="J1947" i="1" a="1"/>
  <c r="J1947" i="1" s="1"/>
  <c r="L1946" i="1" a="1"/>
  <c r="L1946" i="1" s="1"/>
  <c r="L1945" i="1" a="1"/>
  <c r="L1945" i="1" s="1"/>
  <c r="J1945" i="1" a="1"/>
  <c r="J1945" i="1" s="1"/>
  <c r="L1948" i="1" a="1"/>
  <c r="L1948" i="1" s="1"/>
  <c r="K1944" i="1" a="1"/>
  <c r="K1944" i="1" s="1"/>
  <c r="L1949" i="1" a="1"/>
  <c r="L1949" i="1" s="1"/>
  <c r="K1950" i="1" a="1"/>
  <c r="K1950" i="1" s="1"/>
  <c r="K1951" i="1" a="1"/>
  <c r="K1951" i="1" s="1"/>
  <c r="K1947" i="1" a="1"/>
  <c r="K1947" i="1" s="1"/>
  <c r="K1952" i="1" a="1"/>
  <c r="K1952" i="1" s="1"/>
  <c r="J1952" i="1" a="1"/>
  <c r="J1952" i="1" s="1"/>
  <c r="J1949" i="1" a="1"/>
  <c r="J1949" i="1" s="1"/>
  <c r="J1950" i="1" a="1"/>
  <c r="J1950" i="1" s="1"/>
  <c r="K1945" i="1" a="1"/>
  <c r="K1945" i="1" s="1"/>
  <c r="L1951" i="1" a="1"/>
  <c r="L1951" i="1" s="1"/>
  <c r="J1943" i="1" a="1"/>
  <c r="J1943" i="1" s="1"/>
  <c r="J1941" i="1" a="1"/>
  <c r="J1941" i="1" s="1"/>
  <c r="L1942" i="1" a="1"/>
  <c r="L1942" i="1" s="1"/>
  <c r="K1942" i="1" a="1"/>
  <c r="K1942" i="1" s="1"/>
  <c r="K1941" i="1" a="1"/>
  <c r="K1941" i="1" s="1"/>
  <c r="K1943" i="1" a="1"/>
  <c r="K1943" i="1" s="1"/>
  <c r="L1941" i="1" a="1"/>
  <c r="L1941" i="1" s="1"/>
  <c r="J1942" i="1" a="1"/>
  <c r="J1942" i="1" s="1"/>
  <c r="L1943" i="1" a="1"/>
  <c r="L1943" i="1" s="1"/>
  <c r="L1938" i="1" a="1"/>
  <c r="L1938" i="1" s="1"/>
  <c r="L1940" i="1" a="1"/>
  <c r="L1940" i="1" s="1"/>
  <c r="J1939" i="1" a="1"/>
  <c r="J1939" i="1" s="1"/>
  <c r="K1940" i="1" a="1"/>
  <c r="K1940" i="1" s="1"/>
  <c r="J1940" i="1" a="1"/>
  <c r="J1940" i="1" s="1"/>
  <c r="K1938" i="1" a="1"/>
  <c r="K1938" i="1" s="1"/>
  <c r="K1939" i="1" a="1"/>
  <c r="K1939" i="1" s="1"/>
  <c r="L1939" i="1" a="1"/>
  <c r="L1939" i="1" s="1"/>
  <c r="J1938" i="1" a="1"/>
  <c r="J1938" i="1" s="1"/>
  <c r="L1937" i="1" a="1"/>
  <c r="L1937" i="1" s="1"/>
  <c r="K1935" i="1" a="1"/>
  <c r="K1935" i="1" s="1"/>
  <c r="J1936" i="1" a="1"/>
  <c r="J1936" i="1" s="1"/>
  <c r="K1937" i="1" a="1"/>
  <c r="K1937" i="1" s="1"/>
  <c r="J1937" i="1" a="1"/>
  <c r="J1937" i="1" s="1"/>
  <c r="K1936" i="1" a="1"/>
  <c r="K1936" i="1" s="1"/>
  <c r="L1935" i="1" a="1"/>
  <c r="L1935" i="1" s="1"/>
  <c r="L1936" i="1" a="1"/>
  <c r="L1936" i="1" s="1"/>
  <c r="K1931" i="1" a="1"/>
  <c r="K1931" i="1" s="1"/>
  <c r="L1934" i="1" a="1"/>
  <c r="L1934" i="1" s="1"/>
  <c r="K1934" i="1" a="1"/>
  <c r="K1934" i="1" s="1"/>
  <c r="J1934" i="1" a="1"/>
  <c r="J1934" i="1" s="1"/>
  <c r="L1933" i="1" a="1"/>
  <c r="L1933" i="1" s="1"/>
  <c r="J1932" i="1" a="1"/>
  <c r="J1932" i="1" s="1"/>
  <c r="L1932" i="1" a="1"/>
  <c r="L1932" i="1" s="1"/>
  <c r="K1932" i="1" a="1"/>
  <c r="K1932" i="1" s="1"/>
  <c r="K1933" i="1" a="1"/>
  <c r="K1933" i="1" s="1"/>
  <c r="L1931" i="1" a="1"/>
  <c r="L1931" i="1" s="1"/>
  <c r="J1933" i="1" a="1"/>
  <c r="J1933" i="1" s="1"/>
  <c r="L1929" i="1" a="1"/>
  <c r="L1929" i="1" s="1"/>
  <c r="L1930" i="1" a="1"/>
  <c r="L1930" i="1" s="1"/>
  <c r="J1931" i="1" a="1"/>
  <c r="J1931" i="1" s="1"/>
  <c r="J1930" i="1" a="1"/>
  <c r="J1930" i="1" s="1"/>
  <c r="J1935" i="1" a="1"/>
  <c r="J1935" i="1" s="1"/>
  <c r="K1930" i="1" a="1"/>
  <c r="K1930" i="1" s="1"/>
  <c r="L1927" i="1" a="1"/>
  <c r="L1927" i="1" s="1"/>
  <c r="J1928" i="1" a="1"/>
  <c r="J1928" i="1" s="1"/>
  <c r="K1929" i="1" a="1"/>
  <c r="K1929" i="1" s="1"/>
  <c r="J1929" i="1" a="1"/>
  <c r="J1929" i="1" s="1"/>
  <c r="J1927" i="1" a="1"/>
  <c r="J1927" i="1" s="1"/>
  <c r="L1928" i="1" a="1"/>
  <c r="L1928" i="1" s="1"/>
  <c r="K1928" i="1" a="1"/>
  <c r="K1928" i="1" s="1"/>
  <c r="K1927" i="1" a="1"/>
  <c r="K1927" i="1" s="1"/>
  <c r="J1925" i="1" a="1"/>
  <c r="J1925" i="1" s="1"/>
  <c r="K1924" i="1" a="1"/>
  <c r="K1924" i="1" s="1"/>
  <c r="J1926" i="1" a="1"/>
  <c r="J1926" i="1" s="1"/>
  <c r="L1926" i="1" a="1"/>
  <c r="L1926" i="1" s="1"/>
  <c r="K1926" i="1" a="1"/>
  <c r="K1926" i="1" s="1"/>
  <c r="J1924" i="1" a="1"/>
  <c r="J1924" i="1" s="1"/>
  <c r="L1924" i="1" a="1"/>
  <c r="L1924" i="1" s="1"/>
  <c r="L1925" i="1" a="1"/>
  <c r="L1925" i="1" s="1"/>
  <c r="K1925" i="1" a="1"/>
  <c r="K1925" i="1" s="1"/>
  <c r="J1922" i="1" a="1"/>
  <c r="J1922" i="1" s="1"/>
  <c r="J1920" i="1" a="1"/>
  <c r="J1920" i="1" s="1"/>
  <c r="L1922" i="1" a="1"/>
  <c r="L1922" i="1" s="1"/>
  <c r="L1923" i="1" a="1"/>
  <c r="L1923" i="1" s="1"/>
  <c r="L1920" i="1" a="1"/>
  <c r="L1920" i="1" s="1"/>
  <c r="J1921" i="1" a="1"/>
  <c r="J1921" i="1" s="1"/>
  <c r="K1923" i="1" a="1"/>
  <c r="K1923" i="1" s="1"/>
  <c r="K1922" i="1" a="1"/>
  <c r="K1922" i="1" s="1"/>
  <c r="K1921" i="1" a="1"/>
  <c r="K1921" i="1" s="1"/>
  <c r="K1920" i="1" a="1"/>
  <c r="K1920" i="1" s="1"/>
  <c r="J1923" i="1" a="1"/>
  <c r="J1923" i="1" s="1"/>
  <c r="L1921" i="1" a="1"/>
  <c r="L1921" i="1" s="1"/>
  <c r="L1918" i="1" a="1"/>
  <c r="L1918" i="1" s="1"/>
  <c r="K1918" i="1" a="1"/>
  <c r="K1918" i="1" s="1"/>
  <c r="L1917" i="1" a="1"/>
  <c r="L1917" i="1" s="1"/>
  <c r="L1916" i="1" a="1"/>
  <c r="L1916" i="1" s="1"/>
  <c r="J1917" i="1" a="1"/>
  <c r="J1917" i="1" s="1"/>
  <c r="J1916" i="1" a="1"/>
  <c r="J1916" i="1" s="1"/>
  <c r="L1919" i="1" a="1"/>
  <c r="L1919" i="1" s="1"/>
  <c r="K1919" i="1" a="1"/>
  <c r="K1919" i="1" s="1"/>
  <c r="J1919" i="1" a="1"/>
  <c r="J1919" i="1" s="1"/>
  <c r="J1918" i="1" a="1"/>
  <c r="J1918" i="1" s="1"/>
  <c r="K1917" i="1" a="1"/>
  <c r="K1917" i="1" s="1"/>
  <c r="K1916" i="1" a="1"/>
  <c r="K1916" i="1" s="1"/>
  <c r="J1914" i="1" a="1"/>
  <c r="J1914" i="1" s="1"/>
  <c r="K1913" i="1" a="1"/>
  <c r="K1913" i="1" s="1"/>
  <c r="L1913" i="1" a="1"/>
  <c r="L1913" i="1" s="1"/>
  <c r="L1915" i="1" a="1"/>
  <c r="L1915" i="1" s="1"/>
  <c r="K1915" i="1" a="1"/>
  <c r="K1915" i="1" s="1"/>
  <c r="J1915" i="1" a="1"/>
  <c r="J1915" i="1" s="1"/>
  <c r="K1914" i="1" a="1"/>
  <c r="K1914" i="1" s="1"/>
  <c r="L1911" i="1" a="1"/>
  <c r="L1911" i="1" s="1"/>
  <c r="J1913" i="1" a="1"/>
  <c r="J1913" i="1" s="1"/>
  <c r="L1912" i="1" a="1"/>
  <c r="L1912" i="1" s="1"/>
  <c r="J1912" i="1" a="1"/>
  <c r="J1912" i="1" s="1"/>
  <c r="K1912" i="1" a="1"/>
  <c r="K1912" i="1" s="1"/>
  <c r="K1911" i="1" a="1"/>
  <c r="K1911" i="1" s="1"/>
  <c r="L1914" i="1" a="1"/>
  <c r="L1914" i="1" s="1"/>
  <c r="K1910" i="1" a="1"/>
  <c r="K1910" i="1" s="1"/>
  <c r="K1909" i="1" a="1"/>
  <c r="K1909" i="1" s="1"/>
  <c r="J1911" i="1" a="1"/>
  <c r="J1911" i="1" s="1"/>
  <c r="L1910" i="1" a="1"/>
  <c r="L1910" i="1" s="1"/>
  <c r="L1909" i="1" a="1"/>
  <c r="L1909" i="1" s="1"/>
  <c r="J1909" i="1" a="1"/>
  <c r="J1909" i="1" s="1"/>
  <c r="J1908" i="1" a="1"/>
  <c r="J1908" i="1" s="1"/>
  <c r="K1906" i="1" a="1"/>
  <c r="K1906" i="1" s="1"/>
  <c r="K1908" i="1" a="1"/>
  <c r="K1908" i="1" s="1"/>
  <c r="L1907" i="1" a="1"/>
  <c r="L1907" i="1" s="1"/>
  <c r="K1907" i="1" a="1"/>
  <c r="K1907" i="1" s="1"/>
  <c r="J1907" i="1" a="1"/>
  <c r="J1907" i="1" s="1"/>
  <c r="L1906" i="1" a="1"/>
  <c r="L1906" i="1" s="1"/>
  <c r="J1906" i="1" a="1"/>
  <c r="J1906" i="1" s="1"/>
  <c r="L1908" i="1" a="1"/>
  <c r="L1908" i="1" s="1"/>
  <c r="J1910" i="1" a="1"/>
  <c r="J1910" i="1" s="1"/>
  <c r="J1904" i="1" a="1"/>
  <c r="J1904" i="1" s="1"/>
  <c r="K1904" i="1" a="1"/>
  <c r="K1904" i="1" s="1"/>
  <c r="L1904" i="1" a="1"/>
  <c r="L1904" i="1" s="1"/>
  <c r="K1905" i="1" a="1"/>
  <c r="K1905" i="1" s="1"/>
  <c r="J1905" i="1" a="1"/>
  <c r="J1905" i="1" s="1"/>
  <c r="L1905" i="1" a="1"/>
  <c r="L1905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K2263" i="1" a="1"/>
  <c r="K2263" i="1" s="1"/>
  <c r="J2260" i="1" a="1"/>
  <c r="J2260" i="1" s="1"/>
  <c r="J2269" i="1" a="1"/>
  <c r="J2269" i="1" s="1"/>
  <c r="K2267" i="1" a="1"/>
  <c r="K2267" i="1" s="1"/>
  <c r="L2258" i="1" a="1"/>
  <c r="L2258" i="1" s="1"/>
  <c r="J2265" i="1" a="1"/>
  <c r="J2265" i="1" s="1"/>
  <c r="K2271" i="1" a="1"/>
  <c r="K2271" i="1" s="1"/>
  <c r="J2261" i="1" a="1"/>
  <c r="J2261" i="1" s="1"/>
  <c r="K2265" i="1" a="1"/>
  <c r="K2265" i="1" s="1"/>
  <c r="K2260" i="1" a="1"/>
  <c r="K2260" i="1" s="1"/>
  <c r="L2263" i="1" a="1"/>
  <c r="L2263" i="1" s="1"/>
  <c r="J2263" i="1" a="1"/>
  <c r="J2263" i="1" s="1"/>
  <c r="L2265" i="1" a="1"/>
  <c r="L2265" i="1" s="1"/>
  <c r="L2271" i="1" a="1"/>
  <c r="L2271" i="1" s="1"/>
  <c r="J2271" i="1" a="1"/>
  <c r="J2271" i="1" s="1"/>
  <c r="K2258" i="1" a="1"/>
  <c r="K2258" i="1" s="1"/>
  <c r="K2261" i="1" a="1"/>
  <c r="K2261" i="1" s="1"/>
  <c r="K2269" i="1" a="1"/>
  <c r="K2269" i="1" s="1"/>
  <c r="L2269" i="1" a="1"/>
  <c r="L2269" i="1" s="1"/>
  <c r="L2260" i="1" a="1"/>
  <c r="L2260" i="1" s="1"/>
  <c r="J2258" i="1" a="1"/>
  <c r="J2258" i="1" s="1"/>
  <c r="L2267" i="1" a="1"/>
  <c r="L2267" i="1" s="1"/>
  <c r="J2267" i="1" a="1"/>
  <c r="J2267" i="1" s="1"/>
  <c r="L2261" i="1" a="1"/>
  <c r="L2261" i="1" s="1"/>
  <c r="J2252" i="1" a="1"/>
  <c r="J2252" i="1" s="1"/>
  <c r="K2244" i="1" a="1"/>
  <c r="K2244" i="1" s="1"/>
  <c r="L2250" i="1" a="1"/>
  <c r="L2250" i="1" s="1"/>
  <c r="K2246" i="1" a="1"/>
  <c r="K2246" i="1" s="1"/>
  <c r="L2246" i="1" a="1"/>
  <c r="L2246" i="1" s="1"/>
  <c r="L2255" i="1" a="1"/>
  <c r="L2255" i="1" s="1"/>
  <c r="J2256" i="1" a="1"/>
  <c r="J2256" i="1" s="1"/>
  <c r="L2252" i="1" a="1"/>
  <c r="L2252" i="1" s="1"/>
  <c r="K2252" i="1" a="1"/>
  <c r="K2252" i="1" s="1"/>
  <c r="K2248" i="1" a="1"/>
  <c r="K2248" i="1" s="1"/>
  <c r="L2248" i="1" a="1"/>
  <c r="L2248" i="1" s="1"/>
  <c r="L2244" i="1" a="1"/>
  <c r="L2244" i="1" s="1"/>
  <c r="L2256" i="1" a="1"/>
  <c r="L2256" i="1" s="1"/>
  <c r="J2255" i="1" a="1"/>
  <c r="J2255" i="1" s="1"/>
  <c r="K2250" i="1" a="1"/>
  <c r="K2250" i="1" s="1"/>
  <c r="J2250" i="1" a="1"/>
  <c r="J2250" i="1" s="1"/>
  <c r="J2246" i="1" a="1"/>
  <c r="J2246" i="1" s="1"/>
  <c r="K2256" i="1" a="1"/>
  <c r="K2256" i="1" s="1"/>
  <c r="J2248" i="1" a="1"/>
  <c r="J2248" i="1" s="1"/>
  <c r="L2242" i="1" a="1"/>
  <c r="L2242" i="1" s="1"/>
  <c r="K2255" i="1" a="1"/>
  <c r="K2255" i="1" s="1"/>
  <c r="J2244" i="1" a="1"/>
  <c r="J2244" i="1" s="1"/>
  <c r="K2236" i="1" a="1"/>
  <c r="K2236" i="1" s="1"/>
  <c r="L2241" i="1" a="1"/>
  <c r="L2241" i="1" s="1"/>
  <c r="J2241" i="1" a="1"/>
  <c r="J2241" i="1" s="1"/>
  <c r="L2236" i="1" a="1"/>
  <c r="L2236" i="1" s="1"/>
  <c r="J2236" i="1" a="1"/>
  <c r="J2236" i="1" s="1"/>
  <c r="L2237" i="1" a="1"/>
  <c r="L2237" i="1" s="1"/>
  <c r="L2239" i="1" a="1"/>
  <c r="L2239" i="1" s="1"/>
  <c r="K2237" i="1" a="1"/>
  <c r="K2237" i="1" s="1"/>
  <c r="J2239" i="1" a="1"/>
  <c r="J2239" i="1" s="1"/>
  <c r="K2242" i="1" a="1"/>
  <c r="K2242" i="1" s="1"/>
  <c r="J2242" i="1" a="1"/>
  <c r="J2242" i="1" s="1"/>
  <c r="K2241" i="1" a="1"/>
  <c r="K2241" i="1" s="1"/>
  <c r="J2237" i="1" a="1"/>
  <c r="J2237" i="1" s="1"/>
  <c r="K2239" i="1" a="1"/>
  <c r="K2239" i="1" s="1"/>
  <c r="K1041" i="1" a="1"/>
  <c r="K1041" i="1" s="1"/>
  <c r="L1041" i="1" a="1"/>
  <c r="L1041" i="1" s="1"/>
  <c r="K1032" i="1" a="1"/>
  <c r="K1032" i="1" s="1"/>
  <c r="L1039" i="1" a="1"/>
  <c r="L1039" i="1" s="1"/>
  <c r="K1039" i="1" a="1"/>
  <c r="K1039" i="1" s="1"/>
  <c r="J1041" i="1" a="1"/>
  <c r="J1041" i="1" s="1"/>
  <c r="J1039" i="1" a="1"/>
  <c r="J1039" i="1" s="1"/>
  <c r="L1032" i="1" a="1"/>
  <c r="L1032" i="1" s="1"/>
  <c r="J1032" i="1" a="1"/>
  <c r="J1032" i="1" s="1"/>
  <c r="L1029" i="1" a="1"/>
  <c r="L1029" i="1" s="1"/>
  <c r="K1029" i="1" a="1"/>
  <c r="K1029" i="1" s="1"/>
  <c r="J1029" i="1" a="1"/>
  <c r="J1029" i="1" s="1"/>
  <c r="L1008" i="1" a="1"/>
  <c r="L1008" i="1" s="1"/>
  <c r="L1054" i="1" s="1" a="1"/>
  <c r="L1054" i="1" s="1"/>
  <c r="L1027" i="1" a="1"/>
  <c r="L1027" i="1" s="1"/>
  <c r="J1027" i="1" a="1"/>
  <c r="J1027" i="1" s="1"/>
  <c r="L1024" i="1" a="1"/>
  <c r="L1024" i="1" s="1"/>
  <c r="K1008" i="1" a="1"/>
  <c r="K1008" i="1" s="1"/>
  <c r="K1054" i="1" s="1" a="1"/>
  <c r="K1054" i="1" s="1"/>
  <c r="J1008" i="1" a="1"/>
  <c r="J1008" i="1" s="1"/>
  <c r="J1054" i="1" s="1" a="1"/>
  <c r="J1054" i="1" s="1"/>
  <c r="K1024" i="1" a="1"/>
  <c r="K1024" i="1" s="1"/>
  <c r="K1027" i="1" a="1"/>
  <c r="K1027" i="1" s="1"/>
  <c r="J1024" i="1" a="1"/>
  <c r="J1024" i="1" s="1"/>
  <c r="K998" i="1" a="1"/>
  <c r="K998" i="1" s="1"/>
  <c r="K991" i="1" a="1"/>
  <c r="K991" i="1" s="1"/>
  <c r="L999" i="1" a="1"/>
  <c r="L999" i="1" s="1"/>
  <c r="L1051" i="1" s="1" a="1"/>
  <c r="L1051" i="1" s="1"/>
  <c r="J999" i="1" a="1"/>
  <c r="J999" i="1" s="1"/>
  <c r="J1051" i="1" s="1" a="1"/>
  <c r="J1051" i="1" s="1"/>
  <c r="J991" i="1" a="1"/>
  <c r="J991" i="1" s="1"/>
  <c r="J998" i="1" a="1"/>
  <c r="J998" i="1" s="1"/>
  <c r="J985" i="1" a="1"/>
  <c r="J985" i="1" s="1"/>
  <c r="K985" i="1" a="1"/>
  <c r="K985" i="1" s="1"/>
  <c r="L991" i="1" a="1"/>
  <c r="L991" i="1" s="1"/>
  <c r="L985" i="1" a="1"/>
  <c r="L985" i="1" s="1"/>
  <c r="K999" i="1" a="1"/>
  <c r="K999" i="1" s="1"/>
  <c r="K1051" i="1" s="1" a="1"/>
  <c r="K1051" i="1" s="1"/>
  <c r="L998" i="1" a="1"/>
  <c r="L998" i="1" s="1"/>
  <c r="K976" i="1" a="1"/>
  <c r="K976" i="1" s="1"/>
  <c r="J975" i="1" a="1"/>
  <c r="J975" i="1" s="1"/>
  <c r="L979" i="1" a="1"/>
  <c r="L979" i="1" s="1"/>
  <c r="L1053" i="1" s="1" a="1"/>
  <c r="L1053" i="1" s="1"/>
  <c r="L976" i="1" a="1"/>
  <c r="L976" i="1" s="1"/>
  <c r="K975" i="1" a="1"/>
  <c r="K975" i="1" s="1"/>
  <c r="L978" i="1" a="1"/>
  <c r="L978" i="1" s="1"/>
  <c r="J979" i="1" a="1"/>
  <c r="J979" i="1" s="1"/>
  <c r="J1053" i="1" s="1" a="1"/>
  <c r="J1053" i="1" s="1"/>
  <c r="L975" i="1" a="1"/>
  <c r="L975" i="1" s="1"/>
  <c r="K978" i="1" a="1"/>
  <c r="K978" i="1" s="1"/>
  <c r="J976" i="1" a="1"/>
  <c r="J976" i="1" s="1"/>
  <c r="K979" i="1" a="1"/>
  <c r="K979" i="1" s="1"/>
  <c r="K1053" i="1" s="1" a="1"/>
  <c r="K1053" i="1" s="1"/>
  <c r="J978" i="1" a="1"/>
  <c r="J978" i="1" s="1"/>
  <c r="J916" i="1" a="1"/>
  <c r="J916" i="1" s="1"/>
  <c r="L928" i="1" a="1"/>
  <c r="L928" i="1" s="1"/>
  <c r="L916" i="1" a="1"/>
  <c r="L916" i="1" s="1"/>
  <c r="K916" i="1" a="1"/>
  <c r="K916" i="1" s="1"/>
  <c r="J928" i="1" a="1"/>
  <c r="J928" i="1" s="1"/>
  <c r="K928" i="1" a="1"/>
  <c r="K928" i="1" s="1"/>
  <c r="J896" i="1" a="1"/>
  <c r="J896" i="1" s="1"/>
  <c r="J903" i="1" s="1"/>
  <c r="K896" i="1" a="1"/>
  <c r="K896" i="1" s="1"/>
  <c r="K884" i="1" a="1"/>
  <c r="K884" i="1" s="1"/>
  <c r="J884" i="1" a="1"/>
  <c r="J884" i="1" s="1"/>
  <c r="K885" i="1" a="1"/>
  <c r="K885" i="1" s="1"/>
  <c r="L914" i="1" a="1"/>
  <c r="L914" i="1" s="1"/>
  <c r="K914" i="1" a="1"/>
  <c r="K914" i="1" s="1"/>
  <c r="J914" i="1" a="1"/>
  <c r="J914" i="1" s="1"/>
  <c r="L884" i="1" a="1"/>
  <c r="L884" i="1" s="1"/>
  <c r="L896" i="1" a="1"/>
  <c r="L896" i="1" s="1"/>
  <c r="L903" i="1" s="1"/>
  <c r="L885" i="1" a="1"/>
  <c r="L885" i="1" s="1"/>
  <c r="J885" i="1" a="1"/>
  <c r="J885" i="1" s="1"/>
  <c r="K804" i="1" a="1"/>
  <c r="K804" i="1" s="1"/>
  <c r="J806" i="1" a="1"/>
  <c r="J806" i="1" s="1"/>
  <c r="K806" i="1" a="1"/>
  <c r="K806" i="1" s="1"/>
  <c r="L804" i="1" a="1"/>
  <c r="L804" i="1" s="1"/>
  <c r="J804" i="1" a="1"/>
  <c r="J804" i="1" s="1"/>
  <c r="L806" i="1" a="1"/>
  <c r="L806" i="1" s="1"/>
  <c r="J780" i="1" a="1"/>
  <c r="J780" i="1" s="1"/>
  <c r="K780" i="1" a="1"/>
  <c r="K780" i="1" s="1"/>
  <c r="L780" i="1" a="1"/>
  <c r="L780" i="1" s="1"/>
  <c r="L802" i="1" a="1"/>
  <c r="L802" i="1" s="1"/>
  <c r="J802" i="1" a="1"/>
  <c r="J802" i="1" s="1"/>
  <c r="K802" i="1" a="1"/>
  <c r="K802" i="1" s="1"/>
  <c r="J766" i="1" a="1"/>
  <c r="J766" i="1" s="1"/>
  <c r="J816" i="1" s="1" a="1"/>
  <c r="J816" i="1" s="1"/>
  <c r="K766" i="1" a="1"/>
  <c r="K766" i="1" s="1"/>
  <c r="K816" i="1" s="1" a="1"/>
  <c r="K816" i="1" s="1"/>
  <c r="L766" i="1" a="1"/>
  <c r="L766" i="1" s="1"/>
  <c r="L816" i="1" s="1" a="1"/>
  <c r="L816" i="1" s="1"/>
  <c r="J2306" i="1" a="1"/>
  <c r="J2306" i="1" s="1"/>
  <c r="J2304" i="1" a="1"/>
  <c r="J2304" i="1" s="1"/>
  <c r="J2303" i="1" a="1"/>
  <c r="J2303" i="1" s="1"/>
  <c r="L2304" i="1" a="1"/>
  <c r="L2304" i="1" s="1"/>
  <c r="L2300" i="1" a="1"/>
  <c r="L2300" i="1" s="1"/>
  <c r="J2300" i="1" a="1"/>
  <c r="J2300" i="1" s="1"/>
  <c r="K2300" i="1" a="1"/>
  <c r="K2300" i="1" s="1"/>
  <c r="L2302" i="1" a="1"/>
  <c r="L2302" i="1" s="1"/>
  <c r="J2308" i="1" a="1"/>
  <c r="J2308" i="1" s="1"/>
  <c r="K2306" i="1" a="1"/>
  <c r="K2306" i="1" s="1"/>
  <c r="J2302" i="1" a="1"/>
  <c r="J2302" i="1" s="1"/>
  <c r="K2302" i="1" a="1"/>
  <c r="K2302" i="1" s="1"/>
  <c r="J2298" i="1" a="1"/>
  <c r="J2298" i="1" s="1"/>
  <c r="K2304" i="1" a="1"/>
  <c r="K2304" i="1" s="1"/>
  <c r="K2298" i="1" a="1"/>
  <c r="K2298" i="1" s="1"/>
  <c r="K2303" i="1" a="1"/>
  <c r="K2303" i="1" s="1"/>
  <c r="L2298" i="1" a="1"/>
  <c r="L2298" i="1" s="1"/>
  <c r="L2310" i="1" a="1"/>
  <c r="L2310" i="1" s="1"/>
  <c r="L2303" i="1" a="1"/>
  <c r="L2303" i="1" s="1"/>
  <c r="K2310" i="1" a="1"/>
  <c r="K2310" i="1" s="1"/>
  <c r="L2306" i="1" a="1"/>
  <c r="L2306" i="1" s="1"/>
  <c r="J2310" i="1" a="1"/>
  <c r="J2310" i="1" s="1"/>
  <c r="L2308" i="1" a="1"/>
  <c r="L2308" i="1" s="1"/>
  <c r="K2308" i="1" a="1"/>
  <c r="K2308" i="1" s="1"/>
  <c r="K2286" i="1" a="1"/>
  <c r="K2286" i="1" s="1"/>
  <c r="L2292" i="1" a="1"/>
  <c r="L2292" i="1" s="1"/>
  <c r="J2292" i="1" a="1"/>
  <c r="J2292" i="1" s="1"/>
  <c r="K2290" i="1" a="1"/>
  <c r="K2290" i="1" s="1"/>
  <c r="J2284" i="1" a="1"/>
  <c r="J2284" i="1" s="1"/>
  <c r="L2288" i="1" a="1"/>
  <c r="L2288" i="1" s="1"/>
  <c r="L2290" i="1" a="1"/>
  <c r="L2290" i="1" s="1"/>
  <c r="L2297" i="1" a="1"/>
  <c r="L2297" i="1" s="1"/>
  <c r="K2297" i="1" a="1"/>
  <c r="K2297" i="1" s="1"/>
  <c r="J2297" i="1" a="1"/>
  <c r="J2297" i="1" s="1"/>
  <c r="K2284" i="1" a="1"/>
  <c r="K2284" i="1" s="1"/>
  <c r="K2288" i="1" a="1"/>
  <c r="K2288" i="1" s="1"/>
  <c r="L2294" i="1" a="1"/>
  <c r="L2294" i="1" s="1"/>
  <c r="J2286" i="1" a="1"/>
  <c r="J2286" i="1" s="1"/>
  <c r="K2294" i="1" a="1"/>
  <c r="K2294" i="1" s="1"/>
  <c r="L2286" i="1" a="1"/>
  <c r="L2286" i="1" s="1"/>
  <c r="L2284" i="1" a="1"/>
  <c r="L2284" i="1" s="1"/>
  <c r="J2288" i="1" a="1"/>
  <c r="J2288" i="1" s="1"/>
  <c r="J2294" i="1" a="1"/>
  <c r="J2294" i="1" s="1"/>
  <c r="J2290" i="1" a="1"/>
  <c r="J2290" i="1" s="1"/>
  <c r="K2292" i="1" a="1"/>
  <c r="K2292" i="1" s="1"/>
  <c r="J2277" i="1" a="1"/>
  <c r="J2277" i="1" s="1"/>
  <c r="J2280" i="1" a="1"/>
  <c r="J2280" i="1" s="1"/>
  <c r="J2278" i="1" a="1"/>
  <c r="J2278" i="1" s="1"/>
  <c r="L2277" i="1" a="1"/>
  <c r="L2277" i="1" s="1"/>
  <c r="L2282" i="1" a="1"/>
  <c r="L2282" i="1" s="1"/>
  <c r="K2282" i="1" a="1"/>
  <c r="K2282" i="1" s="1"/>
  <c r="J2282" i="1" a="1"/>
  <c r="J2282" i="1" s="1"/>
  <c r="L2281" i="1" a="1"/>
  <c r="L2281" i="1" s="1"/>
  <c r="L2280" i="1" a="1"/>
  <c r="L2280" i="1" s="1"/>
  <c r="J2275" i="1" a="1"/>
  <c r="J2275" i="1" s="1"/>
  <c r="L2278" i="1" a="1"/>
  <c r="L2278" i="1" s="1"/>
  <c r="K2275" i="1" a="1"/>
  <c r="K2275" i="1" s="1"/>
  <c r="K2280" i="1" a="1"/>
  <c r="K2280" i="1" s="1"/>
  <c r="L2274" i="1" a="1"/>
  <c r="L2274" i="1" s="1"/>
  <c r="J2274" i="1" a="1"/>
  <c r="J2274" i="1" s="1"/>
  <c r="K2278" i="1" a="1"/>
  <c r="K2278" i="1" s="1"/>
  <c r="K2277" i="1" a="1"/>
  <c r="K2277" i="1" s="1"/>
  <c r="L2275" i="1" a="1"/>
  <c r="L2275" i="1" s="1"/>
  <c r="K2274" i="1" a="1"/>
  <c r="K2274" i="1" s="1"/>
  <c r="K2281" i="1" a="1"/>
  <c r="K2281" i="1" s="1"/>
  <c r="J2281" i="1" a="1"/>
  <c r="J2281" i="1" s="1"/>
  <c r="K2312" i="1" a="1"/>
  <c r="K2312" i="1" s="1"/>
  <c r="J2312" i="1" a="1"/>
  <c r="J2312" i="1" s="1"/>
  <c r="L2312" i="1" a="1"/>
  <c r="L2312" i="1" s="1"/>
  <c r="L1896" i="1" a="1"/>
  <c r="L1896" i="1" s="1"/>
  <c r="L1898" i="1" a="1"/>
  <c r="L1898" i="1" s="1"/>
  <c r="L1894" i="1" a="1"/>
  <c r="L1894" i="1" s="1"/>
  <c r="J1896" i="1" a="1"/>
  <c r="J1896" i="1" s="1"/>
  <c r="K1894" i="1" a="1"/>
  <c r="K1894" i="1" s="1"/>
  <c r="J1898" i="1" a="1"/>
  <c r="J1898" i="1" s="1"/>
  <c r="J1902" i="1" a="1"/>
  <c r="J1902" i="1" s="1"/>
  <c r="K1898" i="1" a="1"/>
  <c r="K1898" i="1" s="1"/>
  <c r="L1900" i="1" a="1"/>
  <c r="L1900" i="1" s="1"/>
  <c r="K1896" i="1" a="1"/>
  <c r="K1896" i="1" s="1"/>
  <c r="J1894" i="1" a="1"/>
  <c r="J1894" i="1" s="1"/>
  <c r="K1900" i="1" a="1"/>
  <c r="K1900" i="1" s="1"/>
  <c r="J1900" i="1" a="1"/>
  <c r="J1900" i="1" s="1"/>
  <c r="L1893" i="1" a="1"/>
  <c r="L1893" i="1" s="1"/>
  <c r="L1890" i="1" a="1"/>
  <c r="L1890" i="1" s="1"/>
  <c r="K1893" i="1" a="1"/>
  <c r="K1893" i="1" s="1"/>
  <c r="J1893" i="1" a="1"/>
  <c r="J1893" i="1" s="1"/>
  <c r="J1892" i="1" a="1"/>
  <c r="J1892" i="1" s="1"/>
  <c r="J1890" i="1" a="1"/>
  <c r="J1890" i="1" s="1"/>
  <c r="L1892" i="1" a="1"/>
  <c r="L1892" i="1" s="1"/>
  <c r="K1892" i="1" a="1"/>
  <c r="K1892" i="1" s="1"/>
  <c r="J1888" i="1" a="1"/>
  <c r="J1888" i="1" s="1"/>
  <c r="K1888" i="1" a="1"/>
  <c r="K1888" i="1" s="1"/>
  <c r="K1890" i="1" a="1"/>
  <c r="K1890" i="1" s="1"/>
  <c r="L1888" i="1" a="1"/>
  <c r="L1888" i="1" s="1"/>
  <c r="L1882" i="1" a="1"/>
  <c r="L1882" i="1" s="1"/>
  <c r="K1884" i="1" a="1"/>
  <c r="K1884" i="1" s="1"/>
  <c r="J1884" i="1" a="1"/>
  <c r="J1884" i="1" s="1"/>
  <c r="L1880" i="1" a="1"/>
  <c r="L1880" i="1" s="1"/>
  <c r="K1882" i="1" a="1"/>
  <c r="K1882" i="1" s="1"/>
  <c r="J1882" i="1" a="1"/>
  <c r="J1882" i="1" s="1"/>
  <c r="L1887" i="1" a="1"/>
  <c r="L1887" i="1" s="1"/>
  <c r="L1884" i="1" a="1"/>
  <c r="L1884" i="1" s="1"/>
  <c r="K1887" i="1" a="1"/>
  <c r="K1887" i="1" s="1"/>
  <c r="J1887" i="1" a="1"/>
  <c r="J1887" i="1" s="1"/>
  <c r="L1868" i="1" a="1"/>
  <c r="L1868" i="1" s="1"/>
  <c r="J1868" i="1" a="1"/>
  <c r="J1868" i="1" s="1"/>
  <c r="K1867" i="1" a="1"/>
  <c r="K1867" i="1" s="1"/>
  <c r="K1874" i="1" a="1"/>
  <c r="K1874" i="1" s="1"/>
  <c r="K1872" i="1" a="1"/>
  <c r="K1872" i="1" s="1"/>
  <c r="K1871" i="1" a="1"/>
  <c r="K1871" i="1" s="1"/>
  <c r="K1880" i="1" a="1"/>
  <c r="K1880" i="1" s="1"/>
  <c r="L1878" i="1" a="1"/>
  <c r="L1878" i="1" s="1"/>
  <c r="K1870" i="1" a="1"/>
  <c r="K1870" i="1" s="1"/>
  <c r="L1876" i="1" a="1"/>
  <c r="L1876" i="1" s="1"/>
  <c r="L1874" i="1" a="1"/>
  <c r="L1874" i="1" s="1"/>
  <c r="K1868" i="1" a="1"/>
  <c r="K1868" i="1" s="1"/>
  <c r="L1867" i="1" a="1"/>
  <c r="L1867" i="1" s="1"/>
  <c r="J1871" i="1" a="1"/>
  <c r="J1871" i="1" s="1"/>
  <c r="J1880" i="1" a="1"/>
  <c r="J1880" i="1" s="1"/>
  <c r="L1871" i="1" a="1"/>
  <c r="L1871" i="1" s="1"/>
  <c r="J1874" i="1" a="1"/>
  <c r="J1874" i="1" s="1"/>
  <c r="L1872" i="1" a="1"/>
  <c r="L1872" i="1" s="1"/>
  <c r="K1878" i="1" a="1"/>
  <c r="K1878" i="1" s="1"/>
  <c r="L1870" i="1" a="1"/>
  <c r="L1870" i="1" s="1"/>
  <c r="J1878" i="1" a="1"/>
  <c r="J1878" i="1" s="1"/>
  <c r="J1876" i="1" a="1"/>
  <c r="J1876" i="1" s="1"/>
  <c r="J1872" i="1" a="1"/>
  <c r="J1872" i="1" s="1"/>
  <c r="K1876" i="1" a="1"/>
  <c r="K1876" i="1" s="1"/>
  <c r="J1870" i="1" a="1"/>
  <c r="J1870" i="1" s="1"/>
  <c r="J1867" i="1" a="1"/>
  <c r="J1867" i="1" s="1"/>
  <c r="J1865" i="1" a="1"/>
  <c r="J1865" i="1" s="1"/>
  <c r="L1861" i="1" a="1"/>
  <c r="L1861" i="1" s="1"/>
  <c r="K1859" i="1" a="1"/>
  <c r="K1859" i="1" s="1"/>
  <c r="L1859" i="1" a="1"/>
  <c r="L1859" i="1" s="1"/>
  <c r="L1864" i="1" a="1"/>
  <c r="L1864" i="1" s="1"/>
  <c r="J1864" i="1" a="1"/>
  <c r="J1864" i="1" s="1"/>
  <c r="L1857" i="1" a="1"/>
  <c r="L1857" i="1" s="1"/>
  <c r="K1857" i="1" a="1"/>
  <c r="K1857" i="1" s="1"/>
  <c r="J1861" i="1" a="1"/>
  <c r="J1861" i="1" s="1"/>
  <c r="J1857" i="1" a="1"/>
  <c r="J1857" i="1" s="1"/>
  <c r="K1864" i="1" a="1"/>
  <c r="K1864" i="1" s="1"/>
  <c r="J1859" i="1" a="1"/>
  <c r="J1859" i="1" s="1"/>
  <c r="L1865" i="1" a="1"/>
  <c r="L1865" i="1" s="1"/>
  <c r="K1865" i="1" a="1"/>
  <c r="K1865" i="1" s="1"/>
  <c r="K1861" i="1" a="1"/>
  <c r="K1861" i="1" s="1"/>
  <c r="L1850" i="1" a="1"/>
  <c r="L1850" i="1" s="1"/>
  <c r="K1848" i="1" a="1"/>
  <c r="K1848" i="1" s="1"/>
  <c r="L1855" i="1" a="1"/>
  <c r="L1855" i="1" s="1"/>
  <c r="K1850" i="1" a="1"/>
  <c r="K1850" i="1" s="1"/>
  <c r="K1855" i="1" a="1"/>
  <c r="K1855" i="1" s="1"/>
  <c r="J1855" i="1" a="1"/>
  <c r="J1855" i="1" s="1"/>
  <c r="K1851" i="1" a="1"/>
  <c r="K1851" i="1" s="1"/>
  <c r="J1848" i="1" a="1"/>
  <c r="J1848" i="1" s="1"/>
  <c r="L1851" i="1" a="1"/>
  <c r="L1851" i="1" s="1"/>
  <c r="K1853" i="1" a="1"/>
  <c r="K1853" i="1" s="1"/>
  <c r="J1850" i="1" a="1"/>
  <c r="J1850" i="1" s="1"/>
  <c r="J1851" i="1" a="1"/>
  <c r="J1851" i="1" s="1"/>
  <c r="L1853" i="1" a="1"/>
  <c r="L1853" i="1" s="1"/>
  <c r="J1853" i="1" a="1"/>
  <c r="J1853" i="1" s="1"/>
  <c r="L1848" i="1" a="1"/>
  <c r="L1848" i="1" s="1"/>
  <c r="K1838" i="1" a="1"/>
  <c r="K1838" i="1" s="1"/>
  <c r="K1845" i="1" a="1"/>
  <c r="K1845" i="1" s="1"/>
  <c r="K1842" i="1" a="1"/>
  <c r="K1842" i="1" s="1"/>
  <c r="L1840" i="1" a="1"/>
  <c r="L1840" i="1" s="1"/>
  <c r="L1838" i="1" a="1"/>
  <c r="L1838" i="1" s="1"/>
  <c r="J1840" i="1" a="1"/>
  <c r="J1840" i="1" s="1"/>
  <c r="J1838" i="1" a="1"/>
  <c r="J1838" i="1" s="1"/>
  <c r="L1845" i="1" a="1"/>
  <c r="L1845" i="1" s="1"/>
  <c r="L1846" i="1" a="1"/>
  <c r="L1846" i="1" s="1"/>
  <c r="K1840" i="1" a="1"/>
  <c r="K1840" i="1" s="1"/>
  <c r="J1845" i="1" a="1"/>
  <c r="J1845" i="1" s="1"/>
  <c r="K1846" i="1" a="1"/>
  <c r="K1846" i="1" s="1"/>
  <c r="L1842" i="1" a="1"/>
  <c r="L1842" i="1" s="1"/>
  <c r="J1842" i="1" a="1"/>
  <c r="J1842" i="1" s="1"/>
  <c r="J1846" i="1" a="1"/>
  <c r="J1846" i="1" s="1"/>
  <c r="L1836" i="1" a="1"/>
  <c r="L1836" i="1" s="1"/>
  <c r="K1829" i="1" a="1"/>
  <c r="K1829" i="1" s="1"/>
  <c r="J1826" i="1" a="1"/>
  <c r="J1826" i="1" s="1"/>
  <c r="L1831" i="1" a="1"/>
  <c r="L1831" i="1" s="1"/>
  <c r="J1829" i="1" a="1"/>
  <c r="J1829" i="1" s="1"/>
  <c r="K1827" i="1" a="1"/>
  <c r="K1827" i="1" s="1"/>
  <c r="K1836" i="1" a="1"/>
  <c r="K1836" i="1" s="1"/>
  <c r="J1836" i="1" a="1"/>
  <c r="J1836" i="1" s="1"/>
  <c r="J1832" i="1" a="1"/>
  <c r="J1832" i="1" s="1"/>
  <c r="K1826" i="1" a="1"/>
  <c r="K1826" i="1" s="1"/>
  <c r="L1834" i="1" a="1"/>
  <c r="L1834" i="1" s="1"/>
  <c r="K1832" i="1" a="1"/>
  <c r="K1832" i="1" s="1"/>
  <c r="L1832" i="1" a="1"/>
  <c r="L1832" i="1" s="1"/>
  <c r="L1827" i="1" a="1"/>
  <c r="L1827" i="1" s="1"/>
  <c r="L1829" i="1" a="1"/>
  <c r="L1829" i="1" s="1"/>
  <c r="J1827" i="1" a="1"/>
  <c r="J1827" i="1" s="1"/>
  <c r="J1831" i="1" a="1"/>
  <c r="J1831" i="1" s="1"/>
  <c r="K1834" i="1" a="1"/>
  <c r="K1834" i="1" s="1"/>
  <c r="J1834" i="1" a="1"/>
  <c r="J1834" i="1" s="1"/>
  <c r="K1831" i="1" a="1"/>
  <c r="K1831" i="1" s="1"/>
  <c r="L1826" i="1" a="1"/>
  <c r="L1826" i="1" s="1"/>
  <c r="K1902" i="1" a="1"/>
  <c r="K1902" i="1" s="1"/>
  <c r="L1902" i="1" a="1"/>
  <c r="L1902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9" i="1"/>
  <c r="L783" i="1" s="1"/>
  <c r="K779" i="1"/>
  <c r="K783" i="1" s="1"/>
  <c r="J779" i="1"/>
  <c r="J786" i="1" s="1"/>
  <c r="J787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J129" i="1" s="1"/>
  <c r="L96" i="1"/>
  <c r="L128" i="1" s="1"/>
  <c r="K96" i="1"/>
  <c r="J96" i="1"/>
  <c r="J128" i="1" s="1"/>
  <c r="L95" i="1"/>
  <c r="K95" i="1"/>
  <c r="J95" i="1"/>
  <c r="L94" i="1"/>
  <c r="L126" i="1" s="1"/>
  <c r="K94" i="1"/>
  <c r="J94" i="1"/>
  <c r="J126" i="1" s="1"/>
  <c r="L93" i="1"/>
  <c r="K93" i="1"/>
  <c r="J93" i="1"/>
  <c r="J125" i="1" s="1"/>
  <c r="L92" i="1"/>
  <c r="K92" i="1"/>
  <c r="J92" i="1"/>
  <c r="J124" i="1" s="1"/>
  <c r="L91" i="1"/>
  <c r="K91" i="1"/>
  <c r="K123" i="1" s="1"/>
  <c r="J91" i="1"/>
  <c r="J123" i="1" s="1"/>
  <c r="L90" i="1"/>
  <c r="L122" i="1" s="1"/>
  <c r="K90" i="1"/>
  <c r="K122" i="1" s="1"/>
  <c r="J90" i="1"/>
  <c r="J122" i="1" s="1"/>
  <c r="L89" i="1"/>
  <c r="L121" i="1" s="1"/>
  <c r="K89" i="1"/>
  <c r="K121" i="1" s="1"/>
  <c r="J89" i="1"/>
  <c r="J121" i="1" s="1"/>
  <c r="L88" i="1"/>
  <c r="L120" i="1" s="1"/>
  <c r="K88" i="1"/>
  <c r="K120" i="1" s="1"/>
  <c r="J88" i="1"/>
  <c r="J120" i="1" s="1"/>
  <c r="L87" i="1"/>
  <c r="L119" i="1" s="1"/>
  <c r="K87" i="1"/>
  <c r="K119" i="1" s="1"/>
  <c r="J87" i="1"/>
  <c r="J119" i="1" s="1"/>
  <c r="L86" i="1"/>
  <c r="L118" i="1" s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L301" i="1" s="1"/>
  <c r="L465" i="1" s="1"/>
  <c r="K73" i="1"/>
  <c r="J73" i="1"/>
  <c r="J301" i="1" s="1"/>
  <c r="J465" i="1" s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8" i="1" a="1"/>
  <c r="J1648" i="1" s="1"/>
  <c r="K1648" i="1" a="1"/>
  <c r="K1648" i="1" s="1"/>
  <c r="L1648" i="1" a="1"/>
  <c r="L1648" i="1" s="1"/>
  <c r="L1644" i="1" a="1"/>
  <c r="L1644" i="1" s="1"/>
  <c r="K1644" i="1" a="1"/>
  <c r="K1644" i="1" s="1"/>
  <c r="J1644" i="1" a="1"/>
  <c r="J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K2049" i="1" a="1"/>
  <c r="K2049" i="1" s="1"/>
  <c r="L2049" i="1" a="1"/>
  <c r="L2049" i="1" s="1"/>
  <c r="K696" i="1" a="1"/>
  <c r="K696" i="1" s="1"/>
  <c r="J697" i="1" a="1"/>
  <c r="J697" i="1" s="1"/>
  <c r="L711" i="1" a="1"/>
  <c r="L711" i="1" s="1"/>
  <c r="J711" i="1" a="1"/>
  <c r="J711" i="1" s="1"/>
  <c r="L709" i="1" a="1"/>
  <c r="L709" i="1" s="1"/>
  <c r="J696" i="1" a="1"/>
  <c r="J696" i="1" s="1"/>
  <c r="L697" i="1" a="1"/>
  <c r="L697" i="1" s="1"/>
  <c r="K697" i="1" a="1"/>
  <c r="K697" i="1" s="1"/>
  <c r="K711" i="1" a="1"/>
  <c r="K711" i="1" s="1"/>
  <c r="K709" i="1" a="1"/>
  <c r="K709" i="1" s="1"/>
  <c r="J709" i="1" a="1"/>
  <c r="J709" i="1" s="1"/>
  <c r="L696" i="1" a="1"/>
  <c r="L696" i="1" s="1"/>
  <c r="J740" i="1" a="1"/>
  <c r="J740" i="1" s="1"/>
  <c r="K743" i="1" a="1"/>
  <c r="K743" i="1" s="1"/>
  <c r="L740" i="1" a="1"/>
  <c r="L740" i="1" s="1"/>
  <c r="L743" i="1" a="1"/>
  <c r="L743" i="1" s="1"/>
  <c r="J743" i="1" a="1"/>
  <c r="J743" i="1" s="1"/>
  <c r="K740" i="1" a="1"/>
  <c r="K740" i="1" s="1"/>
  <c r="L727" i="1" a="1"/>
  <c r="L727" i="1" s="1"/>
  <c r="J727" i="1" a="1"/>
  <c r="J727" i="1" s="1"/>
  <c r="K727" i="1" a="1"/>
  <c r="K727" i="1" s="1"/>
  <c r="J720" i="1" a="1"/>
  <c r="J720" i="1" s="1"/>
  <c r="L719" i="1" a="1"/>
  <c r="L719" i="1" s="1"/>
  <c r="J718" i="1" a="1"/>
  <c r="J718" i="1" s="1"/>
  <c r="K718" i="1" a="1"/>
  <c r="K718" i="1" s="1"/>
  <c r="L716" i="1" a="1"/>
  <c r="L716" i="1" s="1"/>
  <c r="K716" i="1" a="1"/>
  <c r="K716" i="1" s="1"/>
  <c r="K719" i="1" a="1"/>
  <c r="K719" i="1" s="1"/>
  <c r="J716" i="1" a="1"/>
  <c r="J716" i="1" s="1"/>
  <c r="L718" i="1" a="1"/>
  <c r="L718" i="1" s="1"/>
  <c r="K724" i="1" a="1"/>
  <c r="K724" i="1" s="1"/>
  <c r="J719" i="1" a="1"/>
  <c r="J719" i="1" s="1"/>
  <c r="L724" i="1" a="1"/>
  <c r="L724" i="1" s="1"/>
  <c r="J724" i="1" a="1"/>
  <c r="J724" i="1" s="1"/>
  <c r="L720" i="1" a="1"/>
  <c r="L720" i="1" s="1"/>
  <c r="K720" i="1" a="1"/>
  <c r="K720" i="1" s="1"/>
  <c r="K2339" i="1" a="1"/>
  <c r="K2339" i="1" s="1"/>
  <c r="L2339" i="1" a="1"/>
  <c r="L2339" i="1" s="1"/>
  <c r="J2339" i="1" a="1"/>
  <c r="J2339" i="1" s="1"/>
  <c r="L2340" i="1" a="1"/>
  <c r="L2340" i="1" s="1"/>
  <c r="J2340" i="1" a="1"/>
  <c r="J2340" i="1" s="1"/>
  <c r="K2340" i="1" a="1"/>
  <c r="K2340" i="1" s="1"/>
  <c r="K2333" i="1" a="1"/>
  <c r="K2333" i="1" s="1"/>
  <c r="L2334" i="1" a="1"/>
  <c r="L2334" i="1" s="1"/>
  <c r="L2338" i="1" a="1"/>
  <c r="L2338" i="1" s="1"/>
  <c r="K2338" i="1" a="1"/>
  <c r="K2338" i="1" s="1"/>
  <c r="J2334" i="1" a="1"/>
  <c r="J2334" i="1" s="1"/>
  <c r="L2336" i="1" a="1"/>
  <c r="L2336" i="1" s="1"/>
  <c r="K2332" i="1" a="1"/>
  <c r="K2332" i="1" s="1"/>
  <c r="K2336" i="1" a="1"/>
  <c r="K2336" i="1" s="1"/>
  <c r="L2337" i="1" a="1"/>
  <c r="L2337" i="1" s="1"/>
  <c r="L2333" i="1" a="1"/>
  <c r="L2333" i="1" s="1"/>
  <c r="J2338" i="1" a="1"/>
  <c r="J2338" i="1" s="1"/>
  <c r="K2337" i="1" a="1"/>
  <c r="K2337" i="1" s="1"/>
  <c r="J2337" i="1" a="1"/>
  <c r="J2337" i="1" s="1"/>
  <c r="J2335" i="1" a="1"/>
  <c r="J2335" i="1" s="1"/>
  <c r="J2336" i="1" a="1"/>
  <c r="J2336" i="1" s="1"/>
  <c r="L2331" i="1" a="1"/>
  <c r="L2331" i="1" s="1"/>
  <c r="J2333" i="1" a="1"/>
  <c r="J2333" i="1" s="1"/>
  <c r="L2335" i="1" a="1"/>
  <c r="L2335" i="1" s="1"/>
  <c r="L2332" i="1" a="1"/>
  <c r="L2332" i="1" s="1"/>
  <c r="J2332" i="1" a="1"/>
  <c r="J2332" i="1" s="1"/>
  <c r="K2335" i="1" a="1"/>
  <c r="K2335" i="1" s="1"/>
  <c r="K2334" i="1" a="1"/>
  <c r="K2334" i="1" s="1"/>
  <c r="J2325" i="1" a="1"/>
  <c r="J2325" i="1" s="1"/>
  <c r="J2331" i="1" a="1"/>
  <c r="J2331" i="1" s="1"/>
  <c r="J2327" i="1" a="1"/>
  <c r="J2327" i="1" s="1"/>
  <c r="K2328" i="1" a="1"/>
  <c r="K2328" i="1" s="1"/>
  <c r="J2328" i="1" a="1"/>
  <c r="J2328" i="1" s="1"/>
  <c r="L2327" i="1" a="1"/>
  <c r="L2327" i="1" s="1"/>
  <c r="J2326" i="1" a="1"/>
  <c r="J2326" i="1" s="1"/>
  <c r="J2323" i="1" a="1"/>
  <c r="J2323" i="1" s="1"/>
  <c r="J2322" i="1" s="1" a="1"/>
  <c r="J2322" i="1" s="1"/>
  <c r="L2326" i="1" a="1"/>
  <c r="L2326" i="1" s="1"/>
  <c r="J2329" i="1" a="1"/>
  <c r="J2329" i="1" s="1"/>
  <c r="K2330" i="1" a="1"/>
  <c r="K2330" i="1" s="1"/>
  <c r="L2329" i="1" a="1"/>
  <c r="L2329" i="1" s="1"/>
  <c r="K2329" i="1" a="1"/>
  <c r="K2329" i="1" s="1"/>
  <c r="K2327" i="1" a="1"/>
  <c r="K2327" i="1" s="1"/>
  <c r="K2326" i="1" a="1"/>
  <c r="K2326" i="1" s="1"/>
  <c r="L2325" i="1" a="1"/>
  <c r="L2325" i="1" s="1"/>
  <c r="K2323" i="1" a="1"/>
  <c r="K2323" i="1" s="1"/>
  <c r="K2322" i="1" s="1" a="1"/>
  <c r="K2322" i="1" s="1"/>
  <c r="L2323" i="1" a="1"/>
  <c r="L2323" i="1" s="1"/>
  <c r="L2322" i="1" s="1" a="1"/>
  <c r="L2322" i="1" s="1"/>
  <c r="K2331" i="1" a="1"/>
  <c r="K2331" i="1" s="1"/>
  <c r="L2330" i="1" a="1"/>
  <c r="L2330" i="1" s="1"/>
  <c r="J2330" i="1" a="1"/>
  <c r="J2330" i="1" s="1"/>
  <c r="L2328" i="1" a="1"/>
  <c r="L2328" i="1" s="1"/>
  <c r="K2325" i="1" a="1"/>
  <c r="K2325" i="1" s="1"/>
  <c r="L2317" i="1" a="1"/>
  <c r="L2317" i="1" s="1"/>
  <c r="J2317" i="1" a="1"/>
  <c r="J2317" i="1" s="1"/>
  <c r="K2317" i="1" a="1"/>
  <c r="K2317" i="1" s="1"/>
  <c r="J2316" i="1" a="1"/>
  <c r="J2316" i="1" s="1"/>
  <c r="L2314" i="1" a="1"/>
  <c r="L2314" i="1" s="1"/>
  <c r="K2314" i="1" a="1"/>
  <c r="K2314" i="1" s="1"/>
  <c r="L2320" i="1" a="1"/>
  <c r="L2320" i="1" s="1"/>
  <c r="L2319" i="1" s="1" a="1"/>
  <c r="L2319" i="1" s="1"/>
  <c r="J2314" i="1" a="1"/>
  <c r="J2314" i="1" s="1"/>
  <c r="K2316" i="1" a="1"/>
  <c r="K2316" i="1" s="1"/>
  <c r="L2316" i="1" a="1"/>
  <c r="L2316" i="1" s="1"/>
  <c r="J2320" i="1" a="1"/>
  <c r="J2320" i="1" s="1"/>
  <c r="J2319" i="1" s="1" a="1"/>
  <c r="J2319" i="1" s="1"/>
  <c r="K2320" i="1" a="1"/>
  <c r="K2320" i="1" s="1"/>
  <c r="K2319" i="1" s="1" a="1"/>
  <c r="K2319" i="1" s="1"/>
  <c r="L1709" i="1" a="1"/>
  <c r="L1709" i="1" s="1"/>
  <c r="K1709" i="1" a="1"/>
  <c r="K1709" i="1" s="1"/>
  <c r="J1709" i="1" a="1"/>
  <c r="J1709" i="1" s="1"/>
  <c r="J1708" i="1" a="1"/>
  <c r="J1708" i="1" s="1"/>
  <c r="L1708" i="1" a="1"/>
  <c r="L1708" i="1" s="1"/>
  <c r="K1708" i="1" a="1"/>
  <c r="K1708" i="1" s="1"/>
  <c r="K2043" i="1" a="1"/>
  <c r="K2043" i="1" s="1"/>
  <c r="J2045" i="1" a="1"/>
  <c r="J2045" i="1" s="1"/>
  <c r="J2048" i="1" a="1"/>
  <c r="J2048" i="1" s="1"/>
  <c r="J2047" i="1" a="1"/>
  <c r="J2047" i="1" s="1"/>
  <c r="J2046" i="1" a="1"/>
  <c r="J2046" i="1" s="1"/>
  <c r="J2044" i="1" a="1"/>
  <c r="J2044" i="1" s="1"/>
  <c r="L2045" i="1" a="1"/>
  <c r="L2045" i="1" s="1"/>
  <c r="K2044" i="1" a="1"/>
  <c r="K2044" i="1" s="1"/>
  <c r="L2046" i="1" a="1"/>
  <c r="L2046" i="1" s="1"/>
  <c r="L2044" i="1" a="1"/>
  <c r="L2044" i="1" s="1"/>
  <c r="J2043" i="1" a="1"/>
  <c r="J2043" i="1" s="1"/>
  <c r="L2043" i="1" a="1"/>
  <c r="L2043" i="1" s="1"/>
  <c r="K2047" i="1" a="1"/>
  <c r="K2047" i="1" s="1"/>
  <c r="J2049" i="1" a="1"/>
  <c r="J2049" i="1" s="1"/>
  <c r="K2045" i="1" a="1"/>
  <c r="K2045" i="1" s="1"/>
  <c r="L2047" i="1" a="1"/>
  <c r="L2047" i="1" s="1"/>
  <c r="K2046" i="1" a="1"/>
  <c r="K2046" i="1" s="1"/>
  <c r="L2048" i="1" a="1"/>
  <c r="L2048" i="1" s="1"/>
  <c r="K2048" i="1" a="1"/>
  <c r="K2048" i="1" s="1"/>
  <c r="K2038" i="1" a="1"/>
  <c r="K2038" i="1" s="1"/>
  <c r="L2040" i="1" a="1"/>
  <c r="L2040" i="1" s="1"/>
  <c r="J2039" i="1" a="1"/>
  <c r="J2039" i="1" s="1"/>
  <c r="J2036" i="1" a="1"/>
  <c r="J2036" i="1" s="1"/>
  <c r="L2039" i="1" a="1"/>
  <c r="L2039" i="1" s="1"/>
  <c r="L2042" i="1" a="1"/>
  <c r="L2042" i="1" s="1"/>
  <c r="K2039" i="1" a="1"/>
  <c r="K2039" i="1" s="1"/>
  <c r="L2038" i="1" a="1"/>
  <c r="L2038" i="1" s="1"/>
  <c r="K2037" i="1" a="1"/>
  <c r="K2037" i="1" s="1"/>
  <c r="K2042" i="1" a="1"/>
  <c r="K2042" i="1" s="1"/>
  <c r="K2041" i="1" a="1"/>
  <c r="K2041" i="1" s="1"/>
  <c r="J2041" i="1" a="1"/>
  <c r="J2041" i="1" s="1"/>
  <c r="L2036" i="1" a="1"/>
  <c r="L2036" i="1" s="1"/>
  <c r="L2035" i="1" a="1"/>
  <c r="L2035" i="1" s="1"/>
  <c r="J2040" i="1" a="1"/>
  <c r="J2040" i="1" s="1"/>
  <c r="J2038" i="1" a="1"/>
  <c r="J2038" i="1" s="1"/>
  <c r="L2037" i="1" a="1"/>
  <c r="L2037" i="1" s="1"/>
  <c r="J2037" i="1" a="1"/>
  <c r="J2037" i="1" s="1"/>
  <c r="J2035" i="1" a="1"/>
  <c r="J2035" i="1" s="1"/>
  <c r="K2035" i="1" a="1"/>
  <c r="K2035" i="1" s="1"/>
  <c r="K2034" i="1" a="1"/>
  <c r="K2034" i="1" s="1"/>
  <c r="K2040" i="1" a="1"/>
  <c r="K2040" i="1" s="1"/>
  <c r="K2036" i="1" a="1"/>
  <c r="K2036" i="1" s="1"/>
  <c r="J2042" i="1" a="1"/>
  <c r="J2042" i="1" s="1"/>
  <c r="L2034" i="1" a="1"/>
  <c r="L2034" i="1" s="1"/>
  <c r="L2041" i="1" a="1"/>
  <c r="L2041" i="1" s="1"/>
  <c r="J2034" i="1" a="1"/>
  <c r="J2034" i="1" s="1"/>
  <c r="L2029" i="1" a="1"/>
  <c r="L2029" i="1" s="1"/>
  <c r="L2028" i="1" s="1" a="1"/>
  <c r="L2028" i="1" s="1"/>
  <c r="J2029" i="1" a="1"/>
  <c r="J2029" i="1" s="1"/>
  <c r="J2028" i="1" s="1" a="1"/>
  <c r="J2028" i="1" s="1"/>
  <c r="L2025" i="1" a="1"/>
  <c r="L2025" i="1" s="1"/>
  <c r="K2026" i="1" a="1"/>
  <c r="K2026" i="1" s="1"/>
  <c r="L2032" i="1" a="1"/>
  <c r="L2032" i="1" s="1"/>
  <c r="L2031" i="1" s="1" a="1"/>
  <c r="L2031" i="1" s="1"/>
  <c r="K2032" i="1" a="1"/>
  <c r="K2032" i="1" s="1"/>
  <c r="K2031" i="1" s="1" a="1"/>
  <c r="K2031" i="1" s="1"/>
  <c r="J2032" i="1" a="1"/>
  <c r="J2032" i="1" s="1"/>
  <c r="J2031" i="1" s="1" a="1"/>
  <c r="J2031" i="1" s="1"/>
  <c r="K2029" i="1" a="1"/>
  <c r="K2029" i="1" s="1"/>
  <c r="K2028" i="1" s="1" a="1"/>
  <c r="K2028" i="1" s="1"/>
  <c r="K2025" i="1" a="1"/>
  <c r="K2025" i="1" s="1"/>
  <c r="L2026" i="1" a="1"/>
  <c r="L2026" i="1" s="1"/>
  <c r="J2026" i="1" a="1"/>
  <c r="J2026" i="1" s="1"/>
  <c r="J2025" i="1" a="1"/>
  <c r="J2025" i="1" s="1"/>
  <c r="L2023" i="1" a="1"/>
  <c r="L2023" i="1" s="1"/>
  <c r="K2023" i="1" a="1"/>
  <c r="K2023" i="1" s="1"/>
  <c r="J2023" i="1" a="1"/>
  <c r="J2023" i="1" s="1"/>
  <c r="L652" i="1" a="1"/>
  <c r="L652" i="1" s="1"/>
  <c r="K653" i="1" a="1"/>
  <c r="K653" i="1" s="1"/>
  <c r="K652" i="1" a="1"/>
  <c r="K652" i="1" s="1"/>
  <c r="L653" i="1" a="1"/>
  <c r="L653" i="1" s="1"/>
  <c r="J652" i="1" a="1"/>
  <c r="J652" i="1" s="1"/>
  <c r="J653" i="1" a="1"/>
  <c r="J653" i="1" s="1"/>
  <c r="K665" i="1" a="1"/>
  <c r="K665" i="1" s="1"/>
  <c r="J665" i="1" a="1"/>
  <c r="J665" i="1" s="1"/>
  <c r="L664" i="1" a="1"/>
  <c r="L664" i="1" s="1"/>
  <c r="K664" i="1" a="1"/>
  <c r="K664" i="1" s="1"/>
  <c r="J664" i="1" a="1"/>
  <c r="J664" i="1" s="1"/>
  <c r="K643" i="1" a="1"/>
  <c r="K643" i="1" s="1"/>
  <c r="L648" i="1" a="1"/>
  <c r="L648" i="1" s="1"/>
  <c r="L642" i="1" a="1"/>
  <c r="L642" i="1" s="1"/>
  <c r="L643" i="1" a="1"/>
  <c r="L643" i="1" s="1"/>
  <c r="J643" i="1" a="1"/>
  <c r="J643" i="1" s="1"/>
  <c r="L649" i="1" a="1"/>
  <c r="L649" i="1" s="1"/>
  <c r="K649" i="1" a="1"/>
  <c r="K649" i="1" s="1"/>
  <c r="J649" i="1" a="1"/>
  <c r="J649" i="1" s="1"/>
  <c r="J642" i="1" a="1"/>
  <c r="J642" i="1" s="1"/>
  <c r="J648" i="1" a="1"/>
  <c r="J648" i="1" s="1"/>
  <c r="J647" i="1" a="1"/>
  <c r="J647" i="1" s="1"/>
  <c r="K645" i="1" a="1"/>
  <c r="K645" i="1" s="1"/>
  <c r="K648" i="1" a="1"/>
  <c r="K648" i="1" s="1"/>
  <c r="L650" i="1" a="1"/>
  <c r="L650" i="1" s="1"/>
  <c r="J650" i="1" a="1"/>
  <c r="J650" i="1" s="1"/>
  <c r="K647" i="1" a="1"/>
  <c r="K647" i="1" s="1"/>
  <c r="J645" i="1" a="1"/>
  <c r="J645" i="1" s="1"/>
  <c r="L647" i="1" a="1"/>
  <c r="L647" i="1" s="1"/>
  <c r="K642" i="1" a="1"/>
  <c r="K642" i="1" s="1"/>
  <c r="L645" i="1" a="1"/>
  <c r="L645" i="1" s="1"/>
  <c r="K650" i="1" a="1"/>
  <c r="K650" i="1" s="1"/>
  <c r="J637" i="1" a="1"/>
  <c r="J637" i="1" s="1"/>
  <c r="J639" i="1" a="1"/>
  <c r="J639" i="1" s="1"/>
  <c r="L635" i="1" a="1"/>
  <c r="L635" i="1" s="1"/>
  <c r="K638" i="1" a="1"/>
  <c r="K638" i="1" s="1"/>
  <c r="L639" i="1" a="1"/>
  <c r="L639" i="1" s="1"/>
  <c r="L638" i="1" a="1"/>
  <c r="L638" i="1" s="1"/>
  <c r="L637" i="1" a="1"/>
  <c r="L637" i="1" s="1"/>
  <c r="J635" i="1" a="1"/>
  <c r="J635" i="1" s="1"/>
  <c r="K640" i="1" a="1"/>
  <c r="K640" i="1" s="1"/>
  <c r="J638" i="1" a="1"/>
  <c r="J638" i="1" s="1"/>
  <c r="K639" i="1" a="1"/>
  <c r="K639" i="1" s="1"/>
  <c r="L640" i="1" a="1"/>
  <c r="L640" i="1" s="1"/>
  <c r="J640" i="1" a="1"/>
  <c r="J640" i="1" s="1"/>
  <c r="K635" i="1" a="1"/>
  <c r="K635" i="1" s="1"/>
  <c r="K637" i="1" a="1"/>
  <c r="K637" i="1" s="1"/>
  <c r="J628" i="1" a="1"/>
  <c r="J628" i="1" s="1"/>
  <c r="J629" i="1" a="1"/>
  <c r="J629" i="1" s="1"/>
  <c r="L629" i="1" a="1"/>
  <c r="L629" i="1" s="1"/>
  <c r="K625" i="1" a="1"/>
  <c r="K625" i="1" s="1"/>
  <c r="K632" i="1" a="1"/>
  <c r="K632" i="1" s="1"/>
  <c r="K630" i="1" a="1"/>
  <c r="K630" i="1" s="1"/>
  <c r="J630" i="1" a="1"/>
  <c r="J630" i="1" s="1"/>
  <c r="J625" i="1" a="1"/>
  <c r="J625" i="1" s="1"/>
  <c r="K629" i="1" a="1"/>
  <c r="K629" i="1" s="1"/>
  <c r="J627" i="1" a="1"/>
  <c r="J627" i="1" s="1"/>
  <c r="J632" i="1" a="1"/>
  <c r="J632" i="1" s="1"/>
  <c r="J633" i="1" a="1"/>
  <c r="J633" i="1" s="1"/>
  <c r="K628" i="1" a="1"/>
  <c r="K628" i="1" s="1"/>
  <c r="L632" i="1" a="1"/>
  <c r="L632" i="1" s="1"/>
  <c r="K627" i="1" a="1"/>
  <c r="K627" i="1" s="1"/>
  <c r="L630" i="1" a="1"/>
  <c r="L630" i="1" s="1"/>
  <c r="L628" i="1" a="1"/>
  <c r="L628" i="1" s="1"/>
  <c r="L625" i="1" a="1"/>
  <c r="L625" i="1" s="1"/>
  <c r="L633" i="1" a="1"/>
  <c r="L633" i="1" s="1"/>
  <c r="K633" i="1" a="1"/>
  <c r="K633" i="1" s="1"/>
  <c r="L627" i="1" a="1"/>
  <c r="L627" i="1" s="1"/>
  <c r="K618" i="1" a="1"/>
  <c r="K618" i="1" s="1"/>
  <c r="K620" i="1" a="1"/>
  <c r="K620" i="1" s="1"/>
  <c r="K610" i="1" a="1"/>
  <c r="K610" i="1" s="1"/>
  <c r="L623" i="1" a="1"/>
  <c r="L623" i="1" s="1"/>
  <c r="L610" i="1" a="1"/>
  <c r="L610" i="1" s="1"/>
  <c r="K623" i="1" a="1"/>
  <c r="K623" i="1" s="1"/>
  <c r="K622" i="1" a="1"/>
  <c r="K622" i="1" s="1"/>
  <c r="J620" i="1" a="1"/>
  <c r="J620" i="1" s="1"/>
  <c r="L617" i="1" a="1"/>
  <c r="L617" i="1" s="1"/>
  <c r="K619" i="1" a="1"/>
  <c r="K619" i="1" s="1"/>
  <c r="L619" i="1" a="1"/>
  <c r="L619" i="1" s="1"/>
  <c r="L618" i="1" a="1"/>
  <c r="L618" i="1" s="1"/>
  <c r="J623" i="1" a="1"/>
  <c r="J623" i="1" s="1"/>
  <c r="L622" i="1" a="1"/>
  <c r="L622" i="1" s="1"/>
  <c r="J617" i="1" a="1"/>
  <c r="J617" i="1" s="1"/>
  <c r="J610" i="1" a="1"/>
  <c r="J610" i="1" s="1"/>
  <c r="J622" i="1" a="1"/>
  <c r="J622" i="1" s="1"/>
  <c r="J619" i="1" a="1"/>
  <c r="J619" i="1" s="1"/>
  <c r="L620" i="1" a="1"/>
  <c r="L620" i="1" s="1"/>
  <c r="J618" i="1" a="1"/>
  <c r="J618" i="1" s="1"/>
  <c r="K617" i="1" a="1"/>
  <c r="K617" i="1" s="1"/>
  <c r="K607" i="1" a="1"/>
  <c r="K607" i="1" s="1"/>
  <c r="K603" i="1" a="1"/>
  <c r="K603" i="1" s="1"/>
  <c r="L596" i="1" a="1"/>
  <c r="L596" i="1" s="1"/>
  <c r="J595" i="1" a="1"/>
  <c r="J595" i="1" s="1"/>
  <c r="L609" i="1" a="1"/>
  <c r="L609" i="1" s="1"/>
  <c r="L602" i="1" a="1"/>
  <c r="L602" i="1" s="1"/>
  <c r="L595" i="1" a="1"/>
  <c r="L595" i="1" s="1"/>
  <c r="K606" i="1" a="1"/>
  <c r="K606" i="1" s="1"/>
  <c r="J602" i="1" a="1"/>
  <c r="J602" i="1" s="1"/>
  <c r="K602" i="1" a="1"/>
  <c r="K602" i="1" s="1"/>
  <c r="L603" i="1" a="1"/>
  <c r="L603" i="1" s="1"/>
  <c r="J609" i="1" a="1"/>
  <c r="J609" i="1" s="1"/>
  <c r="J607" i="1" a="1"/>
  <c r="J607" i="1" s="1"/>
  <c r="J596" i="1" a="1"/>
  <c r="J596" i="1" s="1"/>
  <c r="L607" i="1" a="1"/>
  <c r="L607" i="1" s="1"/>
  <c r="K596" i="1" a="1"/>
  <c r="K596" i="1" s="1"/>
  <c r="J603" i="1" a="1"/>
  <c r="J603" i="1" s="1"/>
  <c r="K595" i="1" a="1"/>
  <c r="K595" i="1" s="1"/>
  <c r="K609" i="1" a="1"/>
  <c r="K609" i="1" s="1"/>
  <c r="L606" i="1" a="1"/>
  <c r="L606" i="1" s="1"/>
  <c r="J606" i="1" a="1"/>
  <c r="J606" i="1" s="1"/>
  <c r="L588" i="1" a="1"/>
  <c r="L588" i="1" s="1"/>
  <c r="L592" i="1" a="1"/>
  <c r="L592" i="1" s="1"/>
  <c r="K592" i="1" a="1"/>
  <c r="K592" i="1" s="1"/>
  <c r="J589" i="1" a="1"/>
  <c r="J589" i="1" s="1"/>
  <c r="K589" i="1" a="1"/>
  <c r="K589" i="1" s="1"/>
  <c r="K584" i="1" a="1"/>
  <c r="K584" i="1" s="1"/>
  <c r="L584" i="1" a="1"/>
  <c r="L584" i="1" s="1"/>
  <c r="J585" i="1" a="1"/>
  <c r="J585" i="1" s="1"/>
  <c r="J584" i="1" a="1"/>
  <c r="J584" i="1" s="1"/>
  <c r="K585" i="1" a="1"/>
  <c r="K585" i="1" s="1"/>
  <c r="K593" i="1" a="1"/>
  <c r="K593" i="1" s="1"/>
  <c r="L589" i="1" a="1"/>
  <c r="L589" i="1" s="1"/>
  <c r="J588" i="1" a="1"/>
  <c r="J588" i="1" s="1"/>
  <c r="K588" i="1" a="1"/>
  <c r="K588" i="1" s="1"/>
  <c r="L593" i="1" a="1"/>
  <c r="L593" i="1" s="1"/>
  <c r="J593" i="1" a="1"/>
  <c r="J593" i="1" s="1"/>
  <c r="J592" i="1" a="1"/>
  <c r="J592" i="1" s="1"/>
  <c r="L585" i="1" a="1"/>
  <c r="L585" i="1" s="1"/>
  <c r="K31" i="1" a="1"/>
  <c r="K31" i="1" s="1"/>
  <c r="J31" i="1" a="1"/>
  <c r="J31" i="1" s="1"/>
  <c r="L31" i="1" a="1"/>
  <c r="L31" i="1" s="1"/>
  <c r="L682" i="1" a="1"/>
  <c r="L682" i="1"/>
  <c r="J681" i="1" a="1"/>
  <c r="J681" i="1" s="1"/>
  <c r="J682" i="1" a="1"/>
  <c r="J682" i="1" s="1"/>
  <c r="J687" i="1" a="1"/>
  <c r="J687" i="1" s="1"/>
  <c r="J685" i="1" a="1"/>
  <c r="J685" i="1" s="1"/>
  <c r="L683" i="1" a="1"/>
  <c r="L683" i="1" s="1"/>
  <c r="K685" i="1" a="1"/>
  <c r="K685" i="1" s="1"/>
  <c r="J683" i="1" a="1"/>
  <c r="J683" i="1" s="1"/>
  <c r="L688" i="1" a="1"/>
  <c r="L688" i="1" s="1"/>
  <c r="K688" i="1" a="1"/>
  <c r="K688" i="1" s="1"/>
  <c r="L685" i="1" a="1"/>
  <c r="L685" i="1" s="1"/>
  <c r="K683" i="1" a="1"/>
  <c r="K683" i="1" s="1"/>
  <c r="L681" i="1" a="1"/>
  <c r="L681" i="1" s="1"/>
  <c r="K681" i="1" a="1"/>
  <c r="K681" i="1" s="1"/>
  <c r="K682" i="1" a="1"/>
  <c r="K682" i="1" s="1"/>
  <c r="L687" i="1" a="1"/>
  <c r="L687" i="1" s="1"/>
  <c r="K687" i="1" a="1"/>
  <c r="K687" i="1" s="1"/>
  <c r="J688" i="1" a="1"/>
  <c r="J688" i="1" s="1"/>
  <c r="J666" i="1" a="1"/>
  <c r="J666" i="1" s="1"/>
  <c r="L666" i="1" a="1"/>
  <c r="L666" i="1" s="1"/>
  <c r="L665" i="1" a="1"/>
  <c r="L665" i="1" s="1"/>
  <c r="K666" i="1" a="1"/>
  <c r="K666" i="1" s="1"/>
  <c r="L19" i="1"/>
  <c r="L18" i="1" s="1"/>
  <c r="K19" i="1"/>
  <c r="K18" i="1" s="1"/>
  <c r="J19" i="1"/>
  <c r="J18" i="1" s="1"/>
  <c r="K284" i="1" a="1"/>
  <c r="K284" i="1" s="1"/>
  <c r="K283" i="1" s="1"/>
  <c r="L284" i="1" a="1"/>
  <c r="L284" i="1" s="1"/>
  <c r="L283" i="1" s="1"/>
  <c r="J284" i="1" a="1"/>
  <c r="J284" i="1" s="1"/>
  <c r="J283" i="1" s="1"/>
  <c r="K242" i="1" a="1"/>
  <c r="K242" i="1" s="1"/>
  <c r="K241" i="1" s="1"/>
  <c r="J275" i="1" a="1"/>
  <c r="J275" i="1" s="1"/>
  <c r="J242" i="1" a="1"/>
  <c r="J242" i="1" s="1"/>
  <c r="J241" i="1" s="1"/>
  <c r="L242" i="1" a="1"/>
  <c r="L242" i="1" s="1"/>
  <c r="L275" i="1" a="1"/>
  <c r="L275" i="1" s="1"/>
  <c r="L274" i="1" s="1"/>
  <c r="K275" i="1" a="1"/>
  <c r="K275" i="1" s="1"/>
  <c r="K274" i="1" s="1"/>
  <c r="K199" i="1" a="1"/>
  <c r="K199" i="1" s="1"/>
  <c r="K198" i="1" s="1"/>
  <c r="L199" i="1" a="1"/>
  <c r="L199" i="1" s="1"/>
  <c r="L198" i="1" s="1"/>
  <c r="J199" i="1" a="1"/>
  <c r="J199" i="1" s="1"/>
  <c r="J198" i="1" s="1"/>
  <c r="J62" i="1" a="1"/>
  <c r="J62" i="1" s="1"/>
  <c r="K59" i="1" a="1"/>
  <c r="K59" i="1" s="1"/>
  <c r="L61" i="1" a="1"/>
  <c r="L61" i="1" s="1"/>
  <c r="L59" i="1" a="1"/>
  <c r="L59" i="1" s="1"/>
  <c r="J59" i="1" a="1"/>
  <c r="J59" i="1" s="1"/>
  <c r="K60" i="1" a="1"/>
  <c r="K60" i="1" s="1"/>
  <c r="K62" i="1" a="1"/>
  <c r="K62" i="1" s="1"/>
  <c r="J61" i="1" a="1"/>
  <c r="J61" i="1" s="1"/>
  <c r="J60" i="1" a="1"/>
  <c r="J60" i="1" s="1"/>
  <c r="L60" i="1" a="1"/>
  <c r="L60" i="1" s="1"/>
  <c r="L62" i="1" a="1"/>
  <c r="L62" i="1" s="1"/>
  <c r="K61" i="1" a="1"/>
  <c r="K61" i="1" s="1"/>
  <c r="J55" i="1" a="1"/>
  <c r="J55" i="1" s="1"/>
  <c r="L55" i="1" a="1"/>
  <c r="L55" i="1" s="1"/>
  <c r="K53" i="1" a="1"/>
  <c r="K53" i="1" s="1"/>
  <c r="J54" i="1" a="1"/>
  <c r="J54" i="1" s="1"/>
  <c r="L53" i="1" a="1"/>
  <c r="L53" i="1" s="1"/>
  <c r="L52" i="1" a="1"/>
  <c r="L52" i="1" s="1"/>
  <c r="K55" i="1" a="1"/>
  <c r="K55" i="1" s="1"/>
  <c r="K52" i="1" a="1"/>
  <c r="K52" i="1" s="1"/>
  <c r="J52" i="1" a="1"/>
  <c r="J52" i="1" s="1"/>
  <c r="L15" i="1" a="1"/>
  <c r="L15" i="1" s="1"/>
  <c r="K15" i="1" a="1"/>
  <c r="K15" i="1" s="1"/>
  <c r="J13" i="1" a="1"/>
  <c r="J13" i="1" s="1"/>
  <c r="L14" i="1" a="1"/>
  <c r="L14" i="1" s="1"/>
  <c r="J15" i="1" a="1"/>
  <c r="J15" i="1" s="1"/>
  <c r="J14" i="1" a="1"/>
  <c r="J14" i="1" s="1"/>
  <c r="K14" i="1" a="1"/>
  <c r="K14" i="1" s="1"/>
  <c r="L54" i="1" a="1"/>
  <c r="L54" i="1" s="1"/>
  <c r="J53" i="1" a="1"/>
  <c r="J53" i="1" s="1"/>
  <c r="L13" i="1" a="1"/>
  <c r="L13" i="1" s="1"/>
  <c r="K13" i="1" a="1"/>
  <c r="K13" i="1" s="1"/>
  <c r="L139" i="1" a="1"/>
  <c r="L139" i="1" s="1"/>
  <c r="K54" i="1" a="1"/>
  <c r="K54" i="1" s="1"/>
  <c r="K56" i="1" a="1"/>
  <c r="K56" i="1" s="1"/>
  <c r="L56" i="1" a="1"/>
  <c r="L56" i="1" s="1"/>
  <c r="J56" i="1" a="1"/>
  <c r="J56" i="1" s="1"/>
  <c r="J50" i="1" a="1"/>
  <c r="J50" i="1" s="1"/>
  <c r="K50" i="1" a="1"/>
  <c r="K50" i="1" s="1"/>
  <c r="K45" i="1" a="1"/>
  <c r="K45" i="1" s="1"/>
  <c r="L44" i="1" a="1"/>
  <c r="L44" i="1" s="1"/>
  <c r="L45" i="1" a="1"/>
  <c r="L45" i="1" s="1"/>
  <c r="K28" i="1" a="1"/>
  <c r="K28" i="1" s="1"/>
  <c r="K44" i="1" a="1"/>
  <c r="K44" i="1" s="1"/>
  <c r="L28" i="1" a="1"/>
  <c r="L28" i="1" s="1"/>
  <c r="L43" i="1" a="1"/>
  <c r="L43" i="1" s="1"/>
  <c r="J44" i="1" a="1"/>
  <c r="J44" i="1" s="1"/>
  <c r="K43" i="1" a="1"/>
  <c r="K43" i="1" s="1"/>
  <c r="J43" i="1" a="1"/>
  <c r="J43" i="1" s="1"/>
  <c r="J28" i="1" a="1"/>
  <c r="J28" i="1" s="1"/>
  <c r="K26" i="1" a="1"/>
  <c r="K26" i="1" s="1"/>
  <c r="J25" i="1" a="1"/>
  <c r="J25" i="1" s="1"/>
  <c r="L25" i="1" a="1"/>
  <c r="L25" i="1" s="1"/>
  <c r="L27" i="1" a="1"/>
  <c r="L27" i="1" s="1"/>
  <c r="J26" i="1" a="1"/>
  <c r="J26" i="1" s="1"/>
  <c r="K24" i="1" a="1"/>
  <c r="K24" i="1" s="1"/>
  <c r="J27" i="1" a="1"/>
  <c r="J27" i="1" s="1"/>
  <c r="K25" i="1" a="1"/>
  <c r="K25" i="1" s="1"/>
  <c r="L26" i="1" a="1"/>
  <c r="L26" i="1" s="1"/>
  <c r="L24" i="1" a="1"/>
  <c r="L24" i="1" s="1"/>
  <c r="J24" i="1" a="1"/>
  <c r="J24" i="1" s="1"/>
  <c r="K27" i="1" a="1"/>
  <c r="K27" i="1" s="1"/>
  <c r="L21" i="1" a="1"/>
  <c r="L21" i="1" s="1"/>
  <c r="K21" i="1" a="1"/>
  <c r="K21" i="1" s="1"/>
  <c r="J21" i="1" a="1"/>
  <c r="J21" i="1" s="1"/>
  <c r="J11" i="1" a="1"/>
  <c r="J11" i="1" s="1"/>
  <c r="L16" i="1" a="1"/>
  <c r="L16" i="1" s="1"/>
  <c r="K16" i="1" a="1"/>
  <c r="K16" i="1" s="1"/>
  <c r="J16" i="1" a="1"/>
  <c r="J16" i="1" s="1"/>
  <c r="K11" i="1" a="1"/>
  <c r="K11" i="1" s="1"/>
  <c r="K17" i="1" a="1"/>
  <c r="K17" i="1" s="1"/>
  <c r="L17" i="1" a="1"/>
  <c r="L17" i="1" s="1"/>
  <c r="L11" i="1" a="1"/>
  <c r="L11" i="1" s="1"/>
  <c r="J17" i="1" a="1"/>
  <c r="J17" i="1" s="1"/>
  <c r="J4" i="1" a="1"/>
  <c r="J4" i="1" s="1"/>
  <c r="K4" i="1" a="1"/>
  <c r="K4" i="1" s="1"/>
  <c r="L7" i="1" a="1"/>
  <c r="L7" i="1" s="1"/>
  <c r="L9" i="1" a="1"/>
  <c r="L9" i="1" s="1"/>
  <c r="L5" i="1" a="1"/>
  <c r="L5" i="1" s="1"/>
  <c r="J6" i="1" a="1"/>
  <c r="J6" i="1" s="1"/>
  <c r="L6" i="1" a="1"/>
  <c r="L6" i="1" s="1"/>
  <c r="J7" i="1" a="1"/>
  <c r="J7" i="1" s="1"/>
  <c r="L4" i="1" a="1"/>
  <c r="L4" i="1" s="1"/>
  <c r="K6" i="1" a="1"/>
  <c r="K6" i="1" s="1"/>
  <c r="J10" i="1" a="1"/>
  <c r="J10" i="1" s="1"/>
  <c r="K9" i="1" a="1"/>
  <c r="K9" i="1" s="1"/>
  <c r="K7" i="1" a="1"/>
  <c r="K7" i="1" s="1"/>
  <c r="L10" i="1" a="1"/>
  <c r="L10" i="1" s="1"/>
  <c r="J9" i="1" a="1"/>
  <c r="J9" i="1" s="1"/>
  <c r="J5" i="1" a="1"/>
  <c r="J5" i="1" s="1"/>
  <c r="K10" i="1" a="1"/>
  <c r="K10" i="1" s="1"/>
  <c r="J45" i="1" a="1"/>
  <c r="J45" i="1" s="1"/>
  <c r="L50" i="1" a="1"/>
  <c r="L50" i="1" s="1"/>
  <c r="K5" i="1" a="1"/>
  <c r="K5" i="1" s="1"/>
  <c r="L319" i="1" l="1"/>
  <c r="K398" i="1"/>
  <c r="K439" i="1" s="1"/>
  <c r="I470" i="1"/>
  <c r="L400" i="1"/>
  <c r="L520" i="1" s="1"/>
  <c r="J316" i="1"/>
  <c r="J471" i="1" s="1"/>
  <c r="K399" i="1"/>
  <c r="K519" i="1" s="1"/>
  <c r="K380" i="1"/>
  <c r="K437" i="1" s="1"/>
  <c r="K321" i="1"/>
  <c r="K476" i="1" s="1"/>
  <c r="L323" i="1"/>
  <c r="L478" i="1" s="1"/>
  <c r="L321" i="1"/>
  <c r="L476" i="1" s="1"/>
  <c r="J384" i="1"/>
  <c r="J515" i="1" s="1"/>
  <c r="K385" i="1"/>
  <c r="K516" i="1" s="1"/>
  <c r="L384" i="1"/>
  <c r="L515" i="1" s="1"/>
  <c r="J398" i="1"/>
  <c r="J439" i="1" s="1"/>
  <c r="J400" i="1"/>
  <c r="J520" i="1" s="1"/>
  <c r="L398" i="1"/>
  <c r="L439" i="1" s="1"/>
  <c r="J399" i="1"/>
  <c r="J519" i="1" s="1"/>
  <c r="L786" i="1"/>
  <c r="L787" i="1" s="1"/>
  <c r="J364" i="1"/>
  <c r="J323" i="1"/>
  <c r="J478" i="1" s="1"/>
  <c r="K323" i="1"/>
  <c r="K478" i="1" s="1"/>
  <c r="J783" i="1"/>
  <c r="K324" i="1"/>
  <c r="K479" i="1" s="1"/>
  <c r="J380" i="1"/>
  <c r="J437" i="1" s="1"/>
  <c r="K125" i="1"/>
  <c r="K726" i="1" a="1"/>
  <c r="K726" i="1" s="1"/>
  <c r="K728" i="1" s="1" a="1"/>
  <c r="K728" i="1" s="1"/>
  <c r="L125" i="1"/>
  <c r="J742" i="1" a="1"/>
  <c r="J742" i="1" s="1"/>
  <c r="J744" i="1" s="1" a="1"/>
  <c r="J744" i="1" s="1"/>
  <c r="J361" i="1"/>
  <c r="J428" i="1" s="1"/>
  <c r="J300" i="1"/>
  <c r="J413" i="1" s="1"/>
  <c r="L361" i="1"/>
  <c r="L428" i="1" s="1"/>
  <c r="J318" i="1"/>
  <c r="J473" i="1" s="1"/>
  <c r="K301" i="1"/>
  <c r="K465" i="1" s="1"/>
  <c r="K316" i="1"/>
  <c r="K471" i="1" s="1"/>
  <c r="L300" i="1"/>
  <c r="L413" i="1" s="1"/>
  <c r="L399" i="1"/>
  <c r="L519" i="1" s="1"/>
  <c r="L385" i="1"/>
  <c r="L516" i="1" s="1"/>
  <c r="K400" i="1"/>
  <c r="K520" i="1" s="1"/>
  <c r="J314" i="1"/>
  <c r="J419" i="1" s="1"/>
  <c r="L314" i="1"/>
  <c r="L419" i="1" s="1"/>
  <c r="J319" i="1"/>
  <c r="J474" i="1" s="1"/>
  <c r="K319" i="1"/>
  <c r="K474" i="1" s="1"/>
  <c r="J322" i="1"/>
  <c r="J477" i="1" s="1"/>
  <c r="K742" i="1" a="1"/>
  <c r="K742" i="1" s="1"/>
  <c r="K744" i="1" s="1" a="1"/>
  <c r="K744" i="1" s="1"/>
  <c r="K325" i="1"/>
  <c r="K480" i="1" s="1"/>
  <c r="L325" i="1"/>
  <c r="L480" i="1" s="1"/>
  <c r="J385" i="1"/>
  <c r="J516" i="1" s="1"/>
  <c r="K384" i="1"/>
  <c r="K515" i="1" s="1"/>
  <c r="K128" i="1"/>
  <c r="J386" i="1"/>
  <c r="J517" i="1" s="1"/>
  <c r="L318" i="1"/>
  <c r="L473" i="1" s="1"/>
  <c r="J324" i="1"/>
  <c r="J479" i="1" s="1"/>
  <c r="J325" i="1"/>
  <c r="J480" i="1" s="1"/>
  <c r="K361" i="1"/>
  <c r="K428" i="1" s="1"/>
  <c r="K300" i="1"/>
  <c r="K413" i="1" s="1"/>
  <c r="L324" i="1"/>
  <c r="L479" i="1" s="1"/>
  <c r="L123" i="1"/>
  <c r="K382" i="1"/>
  <c r="K513" i="1" s="1"/>
  <c r="L241" i="1"/>
  <c r="L316" i="1" s="1"/>
  <c r="L471" i="1" s="1"/>
  <c r="L317" i="1"/>
  <c r="L472" i="1" s="1"/>
  <c r="J320" i="1"/>
  <c r="J475" i="1" s="1"/>
  <c r="K363" i="1"/>
  <c r="K504" i="1" s="1"/>
  <c r="L363" i="1"/>
  <c r="L504" i="1" s="1"/>
  <c r="K314" i="1"/>
  <c r="K419" i="1" s="1"/>
  <c r="K126" i="1"/>
  <c r="K322" i="1"/>
  <c r="K477" i="1" s="1"/>
  <c r="J315" i="1"/>
  <c r="J420" i="1" s="1"/>
  <c r="L742" i="1" a="1"/>
  <c r="L742" i="1" s="1"/>
  <c r="L744" i="1" s="1" a="1"/>
  <c r="L744" i="1" s="1"/>
  <c r="L726" i="1" a="1"/>
  <c r="L726" i="1" s="1"/>
  <c r="L728" i="1" s="1" a="1"/>
  <c r="L728" i="1" s="1"/>
  <c r="J317" i="1"/>
  <c r="J472" i="1" s="1"/>
  <c r="L364" i="1"/>
  <c r="K317" i="1"/>
  <c r="K472" i="1" s="1"/>
  <c r="L382" i="1"/>
  <c r="L513" i="1" s="1"/>
  <c r="K124" i="1"/>
  <c r="K320" i="1"/>
  <c r="K475" i="1" s="1"/>
  <c r="L124" i="1"/>
  <c r="L320" i="1"/>
  <c r="L475" i="1" s="1"/>
  <c r="J274" i="1"/>
  <c r="J363" i="1" s="1"/>
  <c r="J504" i="1" s="1"/>
  <c r="K786" i="1"/>
  <c r="K787" i="1" s="1"/>
  <c r="K362" i="1"/>
  <c r="K429" i="1" s="1"/>
  <c r="J362" i="1"/>
  <c r="J429" i="1" s="1"/>
  <c r="J726" i="1" a="1"/>
  <c r="J726" i="1" s="1"/>
  <c r="J728" i="1" s="1" a="1"/>
  <c r="J728" i="1" s="1"/>
  <c r="L362" i="1"/>
  <c r="L429" i="1" s="1"/>
  <c r="J383" i="1"/>
  <c r="J514" i="1" s="1"/>
  <c r="L380" i="1"/>
  <c r="L437" i="1" s="1"/>
  <c r="K383" i="1"/>
  <c r="K514" i="1" s="1"/>
  <c r="K315" i="1"/>
  <c r="K420" i="1" s="1"/>
  <c r="L315" i="1"/>
  <c r="L420" i="1" s="1"/>
  <c r="K318" i="1"/>
  <c r="K473" i="1" s="1"/>
  <c r="J321" i="1"/>
  <c r="J476" i="1" s="1"/>
  <c r="L383" i="1"/>
  <c r="L514" i="1" s="1"/>
  <c r="K386" i="1"/>
  <c r="K517" i="1" s="1"/>
  <c r="L386" i="1"/>
  <c r="L517" i="1" s="1"/>
  <c r="L322" i="1"/>
  <c r="L477" i="1" s="1"/>
  <c r="K364" i="1"/>
  <c r="J382" i="1"/>
  <c r="J513" i="1" s="1"/>
  <c r="K903" i="1"/>
  <c r="K899" i="1"/>
  <c r="K925" i="1"/>
  <c r="K924" i="1" s="1"/>
  <c r="K902" i="1"/>
  <c r="J925" i="1"/>
  <c r="J924" i="1" s="1"/>
  <c r="J899" i="1"/>
  <c r="L925" i="1"/>
  <c r="L924" i="1" s="1"/>
  <c r="L899" i="1"/>
  <c r="J902" i="1"/>
  <c r="L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310" i="1" l="1"/>
  <c r="L474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958" i="1" s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2050" i="1" l="1"/>
  <c r="L470" i="1"/>
  <c r="L1005" i="1"/>
  <c r="L1002" i="1" s="1"/>
  <c r="L1014" i="1"/>
  <c r="L1011" i="1" s="1"/>
  <c r="L1555" i="1"/>
  <c r="L1160" i="1"/>
  <c r="L1602" i="1"/>
  <c r="L1511" i="1"/>
  <c r="L1652" i="1"/>
  <c r="L1603" i="1"/>
  <c r="L1161" i="1"/>
  <c r="L1653" i="1"/>
  <c r="L1556" i="1"/>
  <c r="L1512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183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344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291" i="1" l="1"/>
  <c r="L485" i="1"/>
  <c r="L1206" i="1"/>
  <c r="L1414" i="1"/>
  <c r="L1562" i="1"/>
  <c r="L1658" i="1"/>
  <c r="L1659" i="1" s="1"/>
  <c r="L1428" i="1"/>
  <c r="L1429" i="1"/>
  <c r="L1345" i="1"/>
  <c r="L1207" i="1"/>
  <c r="L1571" i="1"/>
  <c r="L1618" i="1"/>
  <c r="L1570" i="1"/>
  <c r="L1617" i="1"/>
  <c r="L1609" i="1"/>
  <c r="L1184" i="1"/>
  <c r="L1610" i="1"/>
  <c r="L1563" i="1"/>
  <c r="L1331" i="1"/>
  <c r="L1415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561" i="1"/>
  <c r="L1560" i="1" s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F1653" i="1"/>
  <c r="G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I1571" i="1"/>
  <c r="H1571" i="1"/>
  <c r="G1618" i="1"/>
  <c r="F1618" i="1"/>
  <c r="H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10" i="1" l="1"/>
  <c r="F1556" i="1"/>
  <c r="H1603" i="1"/>
  <c r="H1563" i="1"/>
  <c r="G1556" i="1"/>
  <c r="I1603" i="1"/>
  <c r="F1563" i="1"/>
  <c r="F1603" i="1"/>
  <c r="I1556" i="1"/>
  <c r="F1610" i="1"/>
  <c r="G1563" i="1"/>
  <c r="G1603" i="1"/>
  <c r="I1563" i="1"/>
  <c r="I1610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G1429" i="1" l="1"/>
  <c r="F1512" i="1"/>
  <c r="H1512" i="1"/>
  <c r="H1429" i="1"/>
  <c r="I1512" i="1"/>
  <c r="G1512" i="1"/>
  <c r="I1429" i="1"/>
  <c r="I1415" i="1"/>
  <c r="H1415" i="1"/>
  <c r="F1415" i="1"/>
  <c r="G1415" i="1"/>
  <c r="F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F1331" i="1"/>
  <c r="G1331" i="1"/>
  <c r="F1345" i="1"/>
  <c r="I1331" i="1"/>
  <c r="H1345" i="1"/>
  <c r="G1345" i="1"/>
  <c r="I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H1184" i="1"/>
  <c r="G1207" i="1"/>
  <c r="F1207" i="1"/>
  <c r="G1184" i="1"/>
  <c r="I1184" i="1"/>
  <c r="F1184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8" i="1" a="1"/>
  <c r="J738" i="1" s="1"/>
  <c r="J758" i="1" s="1"/>
  <c r="J736" i="1" a="1"/>
  <c r="J736" i="1" s="1"/>
  <c r="J745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428" i="1"/>
  <c r="G1344" i="1"/>
  <c r="G1343" i="1" s="1"/>
  <c r="G1342" i="1" s="1"/>
  <c r="G1206" i="1"/>
  <c r="G1205" i="1" s="1"/>
  <c r="G1204" i="1" s="1"/>
  <c r="F1617" i="1"/>
  <c r="F1616" i="1" s="1"/>
  <c r="F1615" i="1" s="1"/>
  <c r="F1570" i="1"/>
  <c r="F1569" i="1" s="1"/>
  <c r="F1568" i="1" s="1"/>
  <c r="F1428" i="1"/>
  <c r="F1427" i="1" s="1"/>
  <c r="F1426" i="1" s="1"/>
  <c r="F1344" i="1"/>
  <c r="F1343" i="1" s="1"/>
  <c r="F1342" i="1" s="1"/>
  <c r="F1206" i="1"/>
  <c r="F1205" i="1" s="1"/>
  <c r="F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G1569" i="1"/>
  <c r="G1568" i="1" s="1"/>
  <c r="G1616" i="1"/>
  <c r="G1615" i="1" s="1"/>
  <c r="G1427" i="1"/>
  <c r="G1426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570" i="1" s="1"/>
  <c r="J1428" i="1" l="1"/>
  <c r="J1206" i="1"/>
  <c r="J1344" i="1"/>
  <c r="K1345" i="1"/>
  <c r="K1571" i="1"/>
  <c r="K1618" i="1"/>
  <c r="K1429" i="1"/>
  <c r="K1207" i="1"/>
  <c r="K1344" i="1"/>
  <c r="K1428" i="1"/>
  <c r="K1570" i="1"/>
  <c r="K1206" i="1"/>
  <c r="K1617" i="1"/>
  <c r="J1345" i="1"/>
  <c r="J1207" i="1"/>
  <c r="J1571" i="1"/>
  <c r="J1618" i="1"/>
  <c r="J1429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510" i="1" s="1"/>
  <c r="G1509" i="1" s="1"/>
  <c r="G1160" i="1"/>
  <c r="H1652" i="1"/>
  <c r="H1602" i="1"/>
  <c r="H1555" i="1"/>
  <c r="H1511" i="1"/>
  <c r="H1510" i="1" s="1"/>
  <c r="H1509" i="1" s="1"/>
  <c r="H1160" i="1"/>
  <c r="H1159" i="1" s="1"/>
  <c r="H1158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F1652" i="1"/>
  <c r="F1555" i="1"/>
  <c r="F1602" i="1"/>
  <c r="F1511" i="1"/>
  <c r="F1160" i="1"/>
  <c r="F1658" i="1"/>
  <c r="F1659" i="1" s="1"/>
  <c r="F1562" i="1"/>
  <c r="F1609" i="1"/>
  <c r="F1608" i="1" s="1"/>
  <c r="F1607" i="1" s="1"/>
  <c r="F1414" i="1"/>
  <c r="F1330" i="1"/>
  <c r="F1329" i="1" s="1"/>
  <c r="F1328" i="1" s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609" i="1"/>
  <c r="I1608" i="1" s="1"/>
  <c r="I1607" i="1" s="1"/>
  <c r="I1562" i="1"/>
  <c r="I1414" i="1"/>
  <c r="I1330" i="1"/>
  <c r="I1183" i="1"/>
  <c r="F1601" i="1"/>
  <c r="F1600" i="1" s="1"/>
  <c r="F1510" i="1"/>
  <c r="F1509" i="1" s="1"/>
  <c r="F1159" i="1"/>
  <c r="F1158" i="1" s="1"/>
  <c r="I1159" i="1"/>
  <c r="I1158" i="1" s="1"/>
  <c r="H1651" i="1"/>
  <c r="H1601" i="1"/>
  <c r="H1600" i="1" s="1"/>
  <c r="H1554" i="1"/>
  <c r="H1553" i="1" s="1"/>
  <c r="F1651" i="1"/>
  <c r="F1554" i="1"/>
  <c r="F1553" i="1" s="1"/>
  <c r="I1561" i="1"/>
  <c r="I1560" i="1" s="1"/>
  <c r="F1561" i="1"/>
  <c r="F1560" i="1" s="1"/>
  <c r="F1413" i="1"/>
  <c r="F1412" i="1" s="1"/>
  <c r="G1159" i="1"/>
  <c r="G1158" i="1" s="1"/>
  <c r="G1651" i="1"/>
  <c r="G1554" i="1"/>
  <c r="G1553" i="1" s="1"/>
  <c r="G1601" i="1"/>
  <c r="G1600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511" i="1" s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658" i="1"/>
  <c r="J1659" i="1" s="1"/>
  <c r="K1183" i="1"/>
  <c r="K1330" i="1"/>
  <c r="K1160" i="1"/>
  <c r="K1511" i="1"/>
  <c r="J1562" i="1"/>
  <c r="K1562" i="1"/>
  <c r="K1555" i="1"/>
  <c r="J1609" i="1"/>
  <c r="K1602" i="1"/>
  <c r="K1414" i="1"/>
  <c r="K1609" i="1"/>
  <c r="J1160" i="1"/>
  <c r="J1653" i="1"/>
  <c r="J1161" i="1"/>
  <c r="J1556" i="1"/>
  <c r="J1512" i="1"/>
  <c r="J1603" i="1"/>
  <c r="J1555" i="1"/>
  <c r="K1563" i="1"/>
  <c r="K1331" i="1"/>
  <c r="K1415" i="1"/>
  <c r="K1184" i="1"/>
  <c r="K1610" i="1"/>
  <c r="J1602" i="1"/>
  <c r="J1563" i="1"/>
  <c r="J1610" i="1"/>
  <c r="J1415" i="1"/>
  <c r="J1331" i="1"/>
  <c r="J1184" i="1"/>
  <c r="K1653" i="1"/>
  <c r="K1512" i="1"/>
  <c r="K1556" i="1"/>
  <c r="K1603" i="1"/>
  <c r="K1161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<sst xmlns="http://schemas.openxmlformats.org/spreadsheetml/2006/main" count="5204" uniqueCount="2482">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</sst>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2035.xlsx" TargetMode="External"/><Relationship Id="rId2" Type="http://schemas.openxmlformats.org/officeDocument/2006/relationships/externalLinkPath" Target="file:///J:\WP07%20integrated%20modelling\STEM_Results\sps2_secur_bsm_2035.xlsx" TargetMode="External"/><Relationship Id="rId1" Type="http://schemas.openxmlformats.org/officeDocument/2006/relationships/externalLinkPath" Target="/WP07%20integrated%20modelling/STEM_Results/sps2_secur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SOC_Low_2035.xlsx" TargetMode="External"/><Relationship Id="rId2" Type="http://schemas.openxmlformats.org/officeDocument/2006/relationships/externalLinkPath" Target="file:///J:\WP07%20integrated%20modelling\STEM_Results\SPS2_SECUR_BSM_SOC_Low_2035.xlsx" TargetMode="External"/><Relationship Id="rId1" Type="http://schemas.openxmlformats.org/officeDocument/2006/relationships/externalLinkPath" Target="/WP07%20integrated%20modelling/STEM_Results/SPS2_SECUR_BSM_SOC_Low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2.7253364178805164E-2</v>
          </cell>
          <cell r="H4">
            <v>2.0026126852276405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7.5842870109640061E-3</v>
          </cell>
          <cell r="H5">
            <v>1.7763007963176272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3.1863701387257982E-3</v>
          </cell>
          <cell r="H6">
            <v>9.3267897635259216E-3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2.6741594225945294E-3</v>
          </cell>
          <cell r="H7">
            <v>1.1531668174679682E-2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3.3878488646261408E-3</v>
          </cell>
          <cell r="H8">
            <v>1.074040678042504E-2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3.4704394106438042E-3</v>
          </cell>
          <cell r="H9">
            <v>8.4878126237505416E-2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3.7790845133765568E-3</v>
          </cell>
          <cell r="H10">
            <v>0.10047171538351862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3.1711748178743552E-3</v>
          </cell>
          <cell r="H11">
            <v>9.3631825703583381E-3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8.0292630093002762E-2</v>
          </cell>
          <cell r="G12">
            <v>9.4036206953870757E-2</v>
          </cell>
          <cell r="H12">
            <v>9.8791809044325954E-2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8.0292630093002762E-2</v>
          </cell>
          <cell r="G13">
            <v>9.4036206953870757E-2</v>
          </cell>
          <cell r="H13">
            <v>9.8791809044325954E-2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1.02686387346666E-2</v>
          </cell>
          <cell r="G14">
            <v>2.4349031093276398E-3</v>
          </cell>
          <cell r="H14">
            <v>0.195904288180237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1.02686387346666E-2</v>
          </cell>
          <cell r="G15">
            <v>1.02686387346666E-2</v>
          </cell>
          <cell r="H15">
            <v>1.02686387346666E-2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3.2685571165362615</v>
          </cell>
          <cell r="F16">
            <v>3.8321672880200586</v>
          </cell>
          <cell r="G16">
            <v>0.60927028493672275</v>
          </cell>
          <cell r="H16">
            <v>0.76445178778467615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3.2685571165362615</v>
          </cell>
          <cell r="F17">
            <v>3.8321672880200586</v>
          </cell>
          <cell r="G17">
            <v>0.60927028493672275</v>
          </cell>
          <cell r="H17">
            <v>0.76445178778467615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0.67022153480345359</v>
          </cell>
          <cell r="F18">
            <v>0.2165257068792647</v>
          </cell>
          <cell r="G18">
            <v>0.47426138968811049</v>
          </cell>
          <cell r="H18">
            <v>5.1811120007294945E-2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2.0858241054435065</v>
          </cell>
          <cell r="F19">
            <v>0.63099660845370864</v>
          </cell>
          <cell r="G19">
            <v>1.2412644089014604</v>
          </cell>
          <cell r="H19">
            <v>0.10996260969396542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118.503969228359</v>
          </cell>
          <cell r="F20">
            <v>34.810973595745502</v>
          </cell>
          <cell r="G20">
            <v>76.192413256433497</v>
          </cell>
          <cell r="H20">
            <v>8.3480155086220904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2.1011342061765723</v>
          </cell>
          <cell r="F21">
            <v>0.61721584389619677</v>
          </cell>
          <cell r="G21">
            <v>1.3509293130573314</v>
          </cell>
          <cell r="H21">
            <v>0.14801445937273203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1.3583102283850299E-5</v>
          </cell>
          <cell r="G22">
            <v>1.73569168056178E-3</v>
          </cell>
          <cell r="H22">
            <v>3.48541316175593E-3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4.5701033344932203E-2</v>
          </cell>
          <cell r="F23">
            <v>3.3830713134860552E-2</v>
          </cell>
          <cell r="G23">
            <v>2.5276254932664131E-2</v>
          </cell>
          <cell r="H23">
            <v>1.2310992878392848E-2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6.7991233862165927</v>
          </cell>
          <cell r="F24">
            <v>9.7962296817703486E-3</v>
          </cell>
          <cell r="G24">
            <v>8.4415287670235387E-3</v>
          </cell>
          <cell r="H24">
            <v>3.8438980557683514E-3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6.7991233862165927</v>
          </cell>
          <cell r="F25">
            <v>9.7962296817703486E-3</v>
          </cell>
          <cell r="G25">
            <v>8.4415287670235387E-3</v>
          </cell>
          <cell r="H25">
            <v>3.8438980557683514E-3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2.9552484495599599E-5</v>
          </cell>
          <cell r="F26">
            <v>2.79849457975289E-5</v>
          </cell>
          <cell r="G26">
            <v>4.6250605853287297E-5</v>
          </cell>
          <cell r="H26">
            <v>3.87393901107689E-5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1.4779781288644649</v>
          </cell>
          <cell r="F27">
            <v>1.0129311534379903E-2</v>
          </cell>
          <cell r="G27">
            <v>9.7547487334299632E-3</v>
          </cell>
          <cell r="H27">
            <v>9.0295524008858763E-3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2.5273814198770065E-2</v>
          </cell>
          <cell r="F28">
            <v>2.5340972593243614E-2</v>
          </cell>
          <cell r="G28">
            <v>0.18634772672368072</v>
          </cell>
          <cell r="H28">
            <v>0.51232319654089542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2.527381419877003E-2</v>
          </cell>
          <cell r="F29">
            <v>2.5340972593243589E-2</v>
          </cell>
          <cell r="G29">
            <v>0.18634772672368052</v>
          </cell>
          <cell r="H29">
            <v>0.51232319654089487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2.8065798617031283E-2</v>
          </cell>
          <cell r="F30">
            <v>2.8114427363918042E-2</v>
          </cell>
          <cell r="G30">
            <v>0.20609229772441351</v>
          </cell>
          <cell r="H30">
            <v>0.56657435010208379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2.8065798617031283E-2</v>
          </cell>
          <cell r="F31">
            <v>2.8114427363918042E-2</v>
          </cell>
          <cell r="G31">
            <v>0.20609229772441351</v>
          </cell>
          <cell r="H31">
            <v>0.56657435010208379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1.0446407934496501E-2</v>
          </cell>
          <cell r="F32">
            <v>2.03944171320226E-5</v>
          </cell>
          <cell r="G32">
            <v>0.115044101282492</v>
          </cell>
          <cell r="H32">
            <v>8.7155393664396799E-2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1.0448184434593983E-2</v>
          </cell>
          <cell r="F33">
            <v>1.0463179400263247E-2</v>
          </cell>
          <cell r="G33">
            <v>0.12549833836302349</v>
          </cell>
          <cell r="H33">
            <v>0.20984454133192129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5.0903397872888135E-4</v>
          </cell>
          <cell r="F34">
            <v>3.3573154522793065E-3</v>
          </cell>
          <cell r="G34">
            <v>3.5252322820754567</v>
          </cell>
          <cell r="H34">
            <v>5.4674020221640713E-4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5.0903397872888048E-4</v>
          </cell>
          <cell r="F35">
            <v>3.3545735275569031E-3</v>
          </cell>
          <cell r="G35">
            <v>3.52073581232791</v>
          </cell>
          <cell r="H35">
            <v>5.4674020221640788E-4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4.1895800659060917E-4</v>
          </cell>
          <cell r="F36">
            <v>4.0855577096282035E-3</v>
          </cell>
          <cell r="G36">
            <v>4.1964691928659743</v>
          </cell>
          <cell r="H36">
            <v>5.4674020221640713E-4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4.1895800659060917E-4</v>
          </cell>
          <cell r="F37">
            <v>4.0855577096282035E-3</v>
          </cell>
          <cell r="G37">
            <v>4.1964691928659743</v>
          </cell>
          <cell r="H37">
            <v>5.4674020221640713E-4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8.8711210107605201E-2</v>
          </cell>
          <cell r="F38">
            <v>2.2286332843044401E-3</v>
          </cell>
          <cell r="G38">
            <v>0.13561787384319501</v>
          </cell>
          <cell r="H38">
            <v>2.8593530783230199E-4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8.8711210107605201E-2</v>
          </cell>
          <cell r="F39">
            <v>9.0868450663393718E-2</v>
          </cell>
          <cell r="G39">
            <v>0.22610204518494195</v>
          </cell>
          <cell r="H39">
            <v>4.2465498080529018E-2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1.6716200587922947E-2</v>
          </cell>
          <cell r="H40">
            <v>1.0356815858298223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4.881770739496024E-3</v>
          </cell>
          <cell r="H41">
            <v>0.56738132489051663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1.7617598061979984E-3</v>
          </cell>
          <cell r="H42">
            <v>3.3481163898849897E-3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1.6023887477762274E-3</v>
          </cell>
          <cell r="H43">
            <v>3.400953350775724E-3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1.8855458265981597E-3</v>
          </cell>
          <cell r="H44">
            <v>3.4152737030401512E-3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2.341117017079875E-3</v>
          </cell>
          <cell r="H45">
            <v>0.16601981696131046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2.487662774011573E-3</v>
          </cell>
          <cell r="H46">
            <v>0.28877081848895464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1.7559556767630887E-3</v>
          </cell>
          <cell r="H47">
            <v>3.3452820453402838E-3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1.7992197827938499E-5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1.7992197827938499E-5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2.4299972021673368E-2</v>
          </cell>
          <cell r="F52">
            <v>2.4394370907758929E-2</v>
          </cell>
          <cell r="G52">
            <v>0.13167801759902156</v>
          </cell>
          <cell r="H52">
            <v>0.28044231849520679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2.4299972021673343E-2</v>
          </cell>
          <cell r="F53">
            <v>2.4394370907758912E-2</v>
          </cell>
          <cell r="G53">
            <v>0.13167801759902142</v>
          </cell>
          <cell r="H53">
            <v>0.28044231849520646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2.6988860836167975E-2</v>
          </cell>
          <cell r="F54">
            <v>2.7063249737833448E-2</v>
          </cell>
          <cell r="G54">
            <v>0.14563440610302489</v>
          </cell>
          <cell r="H54">
            <v>0.31014545012189976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2.6988860836167975E-2</v>
          </cell>
          <cell r="F55">
            <v>2.7063249737833448E-2</v>
          </cell>
          <cell r="G55">
            <v>0.14563440610302489</v>
          </cell>
          <cell r="H55">
            <v>0.31014545012189976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1.00410939041946E-2</v>
          </cell>
          <cell r="F56">
            <v>1.8785329182832801E-5</v>
          </cell>
          <cell r="G56">
            <v>6.1457699811451397E-2</v>
          </cell>
          <cell r="H56">
            <v>4.6053601755835998E-2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1.0042638807873625E-2</v>
          </cell>
          <cell r="F57">
            <v>1.0056056809871984E-2</v>
          </cell>
          <cell r="G57">
            <v>7.1502404852610613E-2</v>
          </cell>
          <cell r="H57">
            <v>0.11485678790357512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5.4722919745918884E-2</v>
          </cell>
          <cell r="G65">
            <v>3.4194417493835089E-3</v>
          </cell>
          <cell r="H65">
            <v>0.16441057041326471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3.2441566801198554</v>
          </cell>
          <cell r="F66">
            <v>3.8271834983213817</v>
          </cell>
          <cell r="G66">
            <v>4.9630346394655369</v>
          </cell>
          <cell r="H66">
            <v>5.8981026393857814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3.082908899073729</v>
          </cell>
          <cell r="F67">
            <v>3.5393268763488424</v>
          </cell>
          <cell r="G67">
            <v>1.6035797939051133</v>
          </cell>
          <cell r="H67">
            <v>2.1572173489483526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2.0131047531767807</v>
          </cell>
          <cell r="F68">
            <v>1.8879617069428996</v>
          </cell>
          <cell r="G68">
            <v>1.723070490059023</v>
          </cell>
          <cell r="H68">
            <v>2.6346427750573715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0.35038320116997812</v>
          </cell>
          <cell r="G69">
            <v>5.8877796156853054E-2</v>
          </cell>
          <cell r="H69">
            <v>0.2576850732650941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9.2189163284720301</v>
          </cell>
          <cell r="F70">
            <v>10.676183546015393</v>
          </cell>
          <cell r="G70">
            <v>9.2102728170518571</v>
          </cell>
          <cell r="H70">
            <v>12.209058898588196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0.62872578402729395</v>
          </cell>
          <cell r="F71">
            <v>9.8494481158043597E-6</v>
          </cell>
          <cell r="G71">
            <v>7.4855704138889197E-6</v>
          </cell>
          <cell r="H71">
            <v>8.5454131953277205E-6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0.62872578402729395</v>
          </cell>
          <cell r="F72">
            <v>0.62873563347540995</v>
          </cell>
          <cell r="G72">
            <v>0.62874311904582303</v>
          </cell>
          <cell r="H72">
            <v>0.62875166445901898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8.3828760523550969E-2</v>
          </cell>
          <cell r="F73">
            <v>2.2206403513057556E-3</v>
          </cell>
          <cell r="G73">
            <v>3.12019651588453E-2</v>
          </cell>
          <cell r="H73">
            <v>2.0736861542494738E-3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8.3828760523551149E-2</v>
          </cell>
          <cell r="F74">
            <v>2.2191609106986272E-3</v>
          </cell>
          <cell r="G74">
            <v>3.1169496932873623E-2</v>
          </cell>
          <cell r="H74">
            <v>2.0736861542494738E-3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0.11198115970296284</v>
          </cell>
          <cell r="F75">
            <v>2.9604451551563903E-3</v>
          </cell>
          <cell r="G75">
            <v>4.0312969956113422E-2</v>
          </cell>
          <cell r="H75">
            <v>1.6225715661741652E-3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0.11198115970296284</v>
          </cell>
          <cell r="F76">
            <v>2.9604451551563903E-3</v>
          </cell>
          <cell r="G76">
            <v>4.0312969956113422E-2</v>
          </cell>
          <cell r="H76">
            <v>1.6225715661741652E-3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4.0369479926163999E-2</v>
          </cell>
          <cell r="F77">
            <v>7.6540804735273705E-4</v>
          </cell>
          <cell r="G77">
            <v>5.0511079792634795E-4</v>
          </cell>
          <cell r="H77">
            <v>2.86568408455225E-4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4.0369479926163999E-2</v>
          </cell>
          <cell r="F78">
            <v>4.105945610095927E-2</v>
          </cell>
          <cell r="G78">
            <v>4.1294380558358386E-2</v>
          </cell>
          <cell r="H78">
            <v>3.95431540819947E-2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8.38210108597394E-5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8.38210108597394E-5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3.5601573608479287</v>
          </cell>
          <cell r="F81">
            <v>3.4647541095190793</v>
          </cell>
          <cell r="G81">
            <v>0.12899021100237884</v>
          </cell>
          <cell r="H81">
            <v>4.382933590500058E-3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330.02658735060299</v>
          </cell>
          <cell r="F82">
            <v>321.18270595241898</v>
          </cell>
          <cell r="G82">
            <v>11.9573925599205</v>
          </cell>
          <cell r="H82">
            <v>0.40629794383935502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3.5601573608479287</v>
          </cell>
          <cell r="F83">
            <v>3.4647541095190793</v>
          </cell>
          <cell r="G83">
            <v>0.12899021100237884</v>
          </cell>
          <cell r="H83">
            <v>4.382933590500058E-3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3.9054481398688701E-3</v>
          </cell>
          <cell r="F84">
            <v>2.1316013401332014E-3</v>
          </cell>
          <cell r="G84">
            <v>1.166953095208443E-3</v>
          </cell>
          <cell r="H84">
            <v>2.0737962826337802E-3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3.905448139868881E-3</v>
          </cell>
          <cell r="F85">
            <v>2.130181219320325E-3</v>
          </cell>
          <cell r="G85">
            <v>1.1657387839751376E-3</v>
          </cell>
          <cell r="H85">
            <v>2.0737962826337802E-3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2.9728214698396521E-3</v>
          </cell>
          <cell r="F86">
            <v>1.5680200407907239E-3</v>
          </cell>
          <cell r="G86">
            <v>9.2539583080044913E-4</v>
          </cell>
          <cell r="H86">
            <v>1.6226542675106114E-3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2.9728214698396521E-3</v>
          </cell>
          <cell r="F87">
            <v>1.5680200407907239E-3</v>
          </cell>
          <cell r="G87">
            <v>9.2539583080044913E-4</v>
          </cell>
          <cell r="H87">
            <v>1.6226542675106114E-3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3.8323857230168498E-2</v>
          </cell>
          <cell r="F88">
            <v>9.5995648445078405E-4</v>
          </cell>
          <cell r="G88">
            <v>9.5977207760120998E-4</v>
          </cell>
          <cell r="H88">
            <v>6.8094853561305403E-4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3.8323857230168498E-2</v>
          </cell>
          <cell r="F89">
            <v>3.9153811031567398E-2</v>
          </cell>
          <cell r="G89">
            <v>3.9675875080606694E-2</v>
          </cell>
          <cell r="H89">
            <v>3.9443969669737601E-2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328.63595314250398</v>
          </cell>
          <cell r="F98">
            <v>51.047710713935899</v>
          </cell>
          <cell r="G98">
            <v>21.034566130106199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6.0384889906954458</v>
          </cell>
          <cell r="F99">
            <v>0.90360314582001289</v>
          </cell>
          <cell r="G99">
            <v>0.43274277147993545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5.8268786018174561</v>
          </cell>
          <cell r="F101">
            <v>0.90510125379318973</v>
          </cell>
          <cell r="G101">
            <v>0.37295330017918826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0.23090106408996414</v>
          </cell>
          <cell r="F102">
            <v>1.8160741708219189E-3</v>
          </cell>
          <cell r="G102">
            <v>6.1171919835109959E-2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4.4949139189688999E-4</v>
          </cell>
          <cell r="F104">
            <v>8.7722318818523392E-6</v>
          </cell>
          <cell r="G104">
            <v>9.5199081937090492E-6</v>
          </cell>
          <cell r="H104">
            <v>1.2417769444107199E-5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1.027961485932877</v>
          </cell>
          <cell r="F105">
            <v>1.0279702581647587</v>
          </cell>
          <cell r="G105">
            <v>1.0279797780729525</v>
          </cell>
          <cell r="H105">
            <v>1.0279921958423965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696.84428324072303</v>
          </cell>
          <cell r="F106">
            <v>659.57888989984804</v>
          </cell>
          <cell r="G106">
            <v>657.33725117208303</v>
          </cell>
          <cell r="H106">
            <v>529.46975774415296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9.2972343502235013</v>
          </cell>
          <cell r="F107">
            <v>8.800042791971638</v>
          </cell>
          <cell r="G107">
            <v>8.7710485782458143</v>
          </cell>
          <cell r="H107">
            <v>7.2996031348107948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9.455146312628532</v>
          </cell>
          <cell r="F108">
            <v>8.9495100393466611</v>
          </cell>
          <cell r="G108">
            <v>8.9190943171246015</v>
          </cell>
          <cell r="H108">
            <v>7.1841215433399217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1.03544304550713E-3</v>
          </cell>
          <cell r="H109">
            <v>0.23949978993615362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1.7331149429487607</v>
          </cell>
          <cell r="F110">
            <v>0.70059861527119149</v>
          </cell>
          <cell r="G110">
            <v>7.2432940192724088E-2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114.397693864744</v>
          </cell>
          <cell r="F111">
            <v>46.244403025856897</v>
          </cell>
          <cell r="G111">
            <v>4.7810800729652296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2.0283279054032661</v>
          </cell>
          <cell r="F112">
            <v>0.81993622386271225</v>
          </cell>
          <cell r="G112">
            <v>8.4770923279525318E-2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9.9182453161468298E-5</v>
          </cell>
          <cell r="F113">
            <v>5.5765529939379602E-5</v>
          </cell>
          <cell r="G113">
            <v>4.8455831183259301E-5</v>
          </cell>
          <cell r="H113">
            <v>2.8693510470125501E-5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0.25384328483272939</v>
          </cell>
          <cell r="F114">
            <v>0.10140165366822385</v>
          </cell>
          <cell r="G114">
            <v>5.2995512344970019E-2</v>
          </cell>
          <cell r="H114">
            <v>3.7960644996820614E-4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15.013856275659503</v>
          </cell>
          <cell r="F115">
            <v>0.94657119544528923</v>
          </cell>
          <cell r="G115">
            <v>0.51305837026265</v>
          </cell>
          <cell r="H115">
            <v>0.52562360039349076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15.013856275659503</v>
          </cell>
          <cell r="F116">
            <v>0.94657119544528923</v>
          </cell>
          <cell r="G116">
            <v>0.51305837026265</v>
          </cell>
          <cell r="H116">
            <v>0.52562360039349076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3.0149863756528002E-5</v>
          </cell>
          <cell r="F117">
            <v>2.6355931948911201E-5</v>
          </cell>
          <cell r="G117">
            <v>3.8117398272215698E-5</v>
          </cell>
          <cell r="H117">
            <v>5.2605302383911098E-5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0.57702517082694194</v>
          </cell>
          <cell r="F118">
            <v>0.10158953295801987</v>
          </cell>
          <cell r="G118">
            <v>0.10143568445415996</v>
          </cell>
          <cell r="H118">
            <v>0.10143048960598522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1.4349725786644258</v>
          </cell>
          <cell r="F119">
            <v>1.3007946381252773</v>
          </cell>
          <cell r="G119">
            <v>1.2394965147363657</v>
          </cell>
          <cell r="H119">
            <v>1.3552243239983826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14.461386032860608</v>
          </cell>
          <cell r="F120">
            <v>13.06429502478572</v>
          </cell>
          <cell r="G120">
            <v>12.384524026407272</v>
          </cell>
          <cell r="H120">
            <v>13.423956535214588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2843.2803045784799</v>
          </cell>
          <cell r="F121">
            <v>2577.4177359718101</v>
          </cell>
          <cell r="G121">
            <v>2455.9605391370601</v>
          </cell>
          <cell r="H121">
            <v>2685.2656880012801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30.638796385543994</v>
          </cell>
          <cell r="F122">
            <v>27.773898016937611</v>
          </cell>
          <cell r="G122">
            <v>26.465092016563155</v>
          </cell>
          <cell r="H122">
            <v>28.93605267242755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7.2413854533022801E-6</v>
          </cell>
          <cell r="G123">
            <v>4.0133576567924799E-6</v>
          </cell>
          <cell r="H123">
            <v>2.9064328118965899E-3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7.8399388895541613E-2</v>
          </cell>
          <cell r="F124">
            <v>7.1209981135797421E-2</v>
          </cell>
          <cell r="G124">
            <v>7.1168742030482721E-2</v>
          </cell>
          <cell r="H124">
            <v>7.4049215095624857E-2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20.847900448093199</v>
          </cell>
          <cell r="F125">
            <v>2.0141281347758002</v>
          </cell>
          <cell r="G125">
            <v>5.3388726385875902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3.9655311133265141E-2</v>
          </cell>
          <cell r="F126">
            <v>9.1730093739014404E-3</v>
          </cell>
          <cell r="G126">
            <v>1.2781126079905466E-2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9.5466489765268003E-2</v>
          </cell>
          <cell r="F127">
            <v>2.1859912285741887E-2</v>
          </cell>
          <cell r="G127">
            <v>2.9991690034063927E-2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0.36964362496619191</v>
          </cell>
          <cell r="F128">
            <v>3.5711491751343902E-2</v>
          </cell>
          <cell r="G128">
            <v>9.4660862386304723E-2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1.4497041605308599E-4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4.186609550019503E-3</v>
          </cell>
          <cell r="F130">
            <v>1.6833878303224802E-3</v>
          </cell>
          <cell r="G130">
            <v>1.2697667895523082E-3</v>
          </cell>
          <cell r="H130">
            <v>1.0048956899011297E-3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1.2309834003634899E-4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1.2309834003634899E-4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28.948670600564245</v>
          </cell>
          <cell r="F133">
            <v>21.080686840054629</v>
          </cell>
          <cell r="G133">
            <v>26.594131344599681</v>
          </cell>
          <cell r="H133">
            <v>18.064614718796527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28.948670600564245</v>
          </cell>
          <cell r="F134">
            <v>21.080686840054629</v>
          </cell>
          <cell r="G134">
            <v>26.594131344599681</v>
          </cell>
          <cell r="H134">
            <v>18.064614718796527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4.4074053768257897E-5</v>
          </cell>
          <cell r="F135">
            <v>4.5268564639721298E-5</v>
          </cell>
          <cell r="G135">
            <v>1.6909968179793899E-4</v>
          </cell>
          <cell r="H135">
            <v>4.4523073241247303E-5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1.6999745201684109</v>
          </cell>
          <cell r="F136">
            <v>1.699952335821846</v>
          </cell>
          <cell r="G136">
            <v>1.6999418488649312</v>
          </cell>
          <cell r="H136">
            <v>1.699965398738394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3.6943651507146749E-2</v>
          </cell>
          <cell r="G145">
            <v>9.9897740805113086E-2</v>
          </cell>
          <cell r="H145">
            <v>9.8014386177019172E-2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3.6943651507146749E-2</v>
          </cell>
          <cell r="G146">
            <v>9.9897740805113086E-2</v>
          </cell>
          <cell r="H146">
            <v>9.8014386177019172E-2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3.3103046557329298E-3</v>
          </cell>
          <cell r="G147">
            <v>5.4680085595514797E-3</v>
          </cell>
          <cell r="H147">
            <v>1.95455058226129E-4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3.3103046557329298E-3</v>
          </cell>
          <cell r="G148">
            <v>8.7783132152844095E-3</v>
          </cell>
          <cell r="H148">
            <v>8.9737682735105406E-3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0.11258923660105545</v>
          </cell>
          <cell r="F149">
            <v>0.12784581924871477</v>
          </cell>
          <cell r="G149">
            <v>0.11842126328064324</v>
          </cell>
          <cell r="H149">
            <v>0.13842302649489827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5.6294618300527715</v>
          </cell>
          <cell r="F150">
            <v>6.3922909624357347</v>
          </cell>
          <cell r="G150">
            <v>5.9210631640321649</v>
          </cell>
          <cell r="H150">
            <v>6.9211513247449021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9.6794575123593152</v>
          </cell>
          <cell r="F151">
            <v>10.991087717696651</v>
          </cell>
          <cell r="G151">
            <v>10.180845177470154</v>
          </cell>
          <cell r="H151">
            <v>11.900425334947096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4.2345694322355604E-3</v>
          </cell>
          <cell r="F152">
            <v>2.8718115930272198E-2</v>
          </cell>
          <cell r="G152">
            <v>1.7068234364491501E-5</v>
          </cell>
          <cell r="H152">
            <v>9.3584151915205499E-2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0.21279699567428934</v>
          </cell>
          <cell r="F153">
            <v>0.24150485329446542</v>
          </cell>
          <cell r="G153">
            <v>0.24147065447397506</v>
          </cell>
          <cell r="H153">
            <v>0.26147671468051759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3.2944605147353974</v>
          </cell>
          <cell r="G162">
            <v>9.9662483434325413</v>
          </cell>
          <cell r="H162">
            <v>17.9023480892942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3.2944605147353974</v>
          </cell>
          <cell r="G163">
            <v>9.9662483434325413</v>
          </cell>
          <cell r="H163">
            <v>17.9023480892942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3.2944605147354</v>
          </cell>
          <cell r="G164">
            <v>9.9662483434325306</v>
          </cell>
          <cell r="H164">
            <v>17.9023480892942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1.8671488626671899E-6</v>
          </cell>
          <cell r="G165">
            <v>2.0046051226343602</v>
          </cell>
          <cell r="H165">
            <v>2.0654664889237901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1.1231031287168727</v>
          </cell>
          <cell r="G166">
            <v>3.1798359897832205</v>
          </cell>
          <cell r="H166">
            <v>5.1607326569476903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5.6100715303282938</v>
          </cell>
          <cell r="F167">
            <v>6.0767494295611515</v>
          </cell>
          <cell r="G167">
            <v>5.9482898181497221</v>
          </cell>
          <cell r="H167">
            <v>7.6471325057742057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6.0988534961654368</v>
          </cell>
          <cell r="F168">
            <v>6.604454893473072</v>
          </cell>
          <cell r="G168">
            <v>6.4622922851122029</v>
          </cell>
          <cell r="H168">
            <v>8.3024822056838818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0.84970301217908395</v>
          </cell>
          <cell r="F169">
            <v>2.4656683704450402E-6</v>
          </cell>
          <cell r="G169">
            <v>2.90973852282062E-6</v>
          </cell>
          <cell r="H169">
            <v>3.0216633111235002E-6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0.84970301217908395</v>
          </cell>
          <cell r="F170">
            <v>0.84970547784745498</v>
          </cell>
          <cell r="G170">
            <v>0.849708387585978</v>
          </cell>
          <cell r="H170">
            <v>0.84971140924928901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1.2547825860229803E-2</v>
          </cell>
          <cell r="G171">
            <v>0.11292391193399223</v>
          </cell>
          <cell r="H171">
            <v>0.13778341644551323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1.2547825860229803E-2</v>
          </cell>
          <cell r="G172">
            <v>0.11292391193399223</v>
          </cell>
          <cell r="H172">
            <v>0.13778341644551323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1.0637287959281299E-3</v>
          </cell>
          <cell r="G173">
            <v>6.5811363093964802E-3</v>
          </cell>
          <cell r="H173">
            <v>1.76866380456793E-3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1.0637287959281299E-3</v>
          </cell>
          <cell r="G174">
            <v>7.64486510532461E-3</v>
          </cell>
          <cell r="H174">
            <v>9.4135289098925407E-3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4.5532609320825E-2</v>
          </cell>
          <cell r="G175">
            <v>5.5870487320605219E-2</v>
          </cell>
          <cell r="H175">
            <v>5.5858075030562969E-2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4.5532609320825E-2</v>
          </cell>
          <cell r="G176">
            <v>5.5870487320605219E-2</v>
          </cell>
          <cell r="H176">
            <v>5.5858075030562969E-2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3.9638924655893996E-3</v>
          </cell>
          <cell r="G177">
            <v>1.05504928058375E-3</v>
          </cell>
          <cell r="H177">
            <v>5.3498701353929403E-6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3.9638924655893996E-3</v>
          </cell>
          <cell r="G178">
            <v>5.01894174617315E-3</v>
          </cell>
          <cell r="H178">
            <v>5.02429161630854E-3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0.65994744305975483</v>
          </cell>
          <cell r="F179">
            <v>1.4023866118570587</v>
          </cell>
          <cell r="G179">
            <v>3.7144502899717744</v>
          </cell>
          <cell r="H179">
            <v>5.3812368622562738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0.17256107231247877</v>
          </cell>
          <cell r="F180">
            <v>0.40268154372963511</v>
          </cell>
          <cell r="G180">
            <v>1.2506960614241154</v>
          </cell>
          <cell r="H180">
            <v>2.5438574257938686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0.87271771145520349</v>
          </cell>
          <cell r="F181">
            <v>1.7856104341453656</v>
          </cell>
          <cell r="G181">
            <v>4.6818413972954458</v>
          </cell>
          <cell r="H181">
            <v>7.5215718293949587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1.3360940420271099E-2</v>
          </cell>
          <cell r="G182">
            <v>3.12815534922702E-2</v>
          </cell>
          <cell r="H182">
            <v>4.7887059106327602E-2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1.2870252393461221E-2</v>
          </cell>
          <cell r="F183">
            <v>1.5038137398861954E-2</v>
          </cell>
          <cell r="G183">
            <v>4.631644953856081E-2</v>
          </cell>
          <cell r="H183">
            <v>9.4195697419412902E-2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1.6666674525360543E-2</v>
          </cell>
          <cell r="G184">
            <v>1.7024400428958763E-2</v>
          </cell>
          <cell r="H184">
            <v>0.25334027691799155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1.6666674525360543E-2</v>
          </cell>
          <cell r="G185">
            <v>1.7024400428958763E-2</v>
          </cell>
          <cell r="H185">
            <v>0.25334027691799155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1.43448214027016E-3</v>
          </cell>
          <cell r="G186">
            <v>2.38865647993927E-2</v>
          </cell>
          <cell r="H186">
            <v>2.5223598481194899E-5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1.43448214027016E-3</v>
          </cell>
          <cell r="G187">
            <v>1.43448214027016E-3</v>
          </cell>
          <cell r="H187">
            <v>1.8076797069801601E-2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2.036135925556301E-3</v>
          </cell>
          <cell r="F188">
            <v>1.0323066755480194E-3</v>
          </cell>
          <cell r="G188">
            <v>2.1088550657546406E-3</v>
          </cell>
          <cell r="H188">
            <v>5.4674020219596319E-4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2.036135925556304E-3</v>
          </cell>
          <cell r="F189">
            <v>1.0331504511193502E-3</v>
          </cell>
          <cell r="G189">
            <v>2.1115483672434722E-3</v>
          </cell>
          <cell r="H189">
            <v>5.4674020219596243E-4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2.036135925556304E-3</v>
          </cell>
          <cell r="F190">
            <v>1.0331504511193502E-3</v>
          </cell>
          <cell r="G190">
            <v>2.1115483672434722E-3</v>
          </cell>
          <cell r="H190">
            <v>5.4674020219596243E-4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2.036135925556304E-3</v>
          </cell>
          <cell r="F191">
            <v>1.0331504511193502E-3</v>
          </cell>
          <cell r="G191">
            <v>2.1115483672434722E-3</v>
          </cell>
          <cell r="H191">
            <v>5.4674020219596243E-4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2.1470819634978398E-2</v>
          </cell>
          <cell r="F192">
            <v>6.9120123866257604E-4</v>
          </cell>
          <cell r="G192">
            <v>5.9691071279652599E-4</v>
          </cell>
          <cell r="H192">
            <v>3.9633980035813301E-4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2.1470819634978398E-2</v>
          </cell>
          <cell r="F193">
            <v>2.2076172203711476E-2</v>
          </cell>
          <cell r="G193">
            <v>2.2402768355733738E-2</v>
          </cell>
          <cell r="H193">
            <v>2.1959270729509001E-2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9.6002379843435418E-4</v>
          </cell>
          <cell r="G194">
            <v>1.3216409765481374</v>
          </cell>
          <cell r="H194">
            <v>1.477700125408963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9.6002379843435418E-4</v>
          </cell>
          <cell r="G195">
            <v>1.3216409765481374</v>
          </cell>
          <cell r="H195">
            <v>1.477700125408963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9.6002379843435396E-4</v>
          </cell>
          <cell r="G196">
            <v>1.3216409765481401</v>
          </cell>
          <cell r="H196">
            <v>1.4777001254089599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3.2727838953956198E-4</v>
          </cell>
          <cell r="G197">
            <v>0.42135967106072297</v>
          </cell>
          <cell r="H197">
            <v>4.29792537312647E-3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3.2727838953956198E-4</v>
          </cell>
          <cell r="G198">
            <v>0.42168694945026303</v>
          </cell>
          <cell r="H198">
            <v>0.42598487482338898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0.96593191713005089</v>
          </cell>
          <cell r="F199">
            <v>1.9314762520194165E-2</v>
          </cell>
          <cell r="G199">
            <v>7.9851462797953549E-2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1.8036467630566795</v>
          </cell>
          <cell r="F200">
            <v>3.7114377824545387E-2</v>
          </cell>
          <cell r="G200">
            <v>0.15994218272706601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226.173085210479</v>
          </cell>
          <cell r="F201">
            <v>4.7188143983917898</v>
          </cell>
          <cell r="G201">
            <v>19.625612238503098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4.0101610852921787</v>
          </cell>
          <cell r="F202">
            <v>8.3666921957301368E-2</v>
          </cell>
          <cell r="G202">
            <v>0.34797184820040949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3.16525421390184E-6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0.10832730174213549</v>
          </cell>
          <cell r="F204">
            <v>6.1850074897967927E-3</v>
          </cell>
          <cell r="G204">
            <v>6.1699499611585912E-3</v>
          </cell>
          <cell r="H204">
            <v>-9.4486187225961693E-6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12.841988463511951</v>
          </cell>
          <cell r="F205">
            <v>16.033274930583477</v>
          </cell>
          <cell r="G205">
            <v>2.4276904620225808</v>
          </cell>
          <cell r="H205">
            <v>44.631303437498097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12.841988463511951</v>
          </cell>
          <cell r="F206">
            <v>16.033274930583477</v>
          </cell>
          <cell r="G206">
            <v>2.4276904620225808</v>
          </cell>
          <cell r="H206">
            <v>44.631303437498097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16.052497217129396</v>
          </cell>
          <cell r="F207">
            <v>20.041595117943295</v>
          </cell>
          <cell r="G207">
            <v>3.0346186015414971</v>
          </cell>
          <cell r="H207">
            <v>55.789111303617801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16.052497217129396</v>
          </cell>
          <cell r="F208">
            <v>20.041595117943295</v>
          </cell>
          <cell r="G208">
            <v>3.0346186015414971</v>
          </cell>
          <cell r="H208">
            <v>55.789111303617801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3.9053728840280529E-3</v>
          </cell>
          <cell r="F210">
            <v>5.3834140665880706E-3</v>
          </cell>
          <cell r="G210">
            <v>2.1928550147977299E-2</v>
          </cell>
          <cell r="H210">
            <v>2.0736996739536698E-3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3.9053728840280633E-3</v>
          </cell>
          <cell r="F211">
            <v>5.379827514911467E-3</v>
          </cell>
          <cell r="G211">
            <v>2.1905731677479948E-2</v>
          </cell>
          <cell r="H211">
            <v>2.0736996739536698E-3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2.9727211287275276E-3</v>
          </cell>
          <cell r="F212">
            <v>7.1179890499633624E-3</v>
          </cell>
          <cell r="G212">
            <v>2.8347273167954552E-2</v>
          </cell>
          <cell r="H212">
            <v>1.6225882732687127E-3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2.9727211287275276E-3</v>
          </cell>
          <cell r="F213">
            <v>7.1179890499633624E-3</v>
          </cell>
          <cell r="G213">
            <v>2.8347273167954552E-2</v>
          </cell>
          <cell r="H213">
            <v>1.6225882732687127E-3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3.4795973879293299E-2</v>
          </cell>
          <cell r="F214">
            <v>1.0821692559269301E-3</v>
          </cell>
          <cell r="G214">
            <v>6.25163976073285E-4</v>
          </cell>
          <cell r="H214">
            <v>3.03215122985527E-4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3.4795973879293299E-2</v>
          </cell>
          <cell r="F215">
            <v>3.5814550738494037E-2</v>
          </cell>
          <cell r="G215">
            <v>3.6204372888291557E-2</v>
          </cell>
          <cell r="H215">
            <v>3.495638871607349E-2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/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/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4.1595563730502502E-4</v>
          </cell>
          <cell r="F222">
            <v>1.0698296985019493E-2</v>
          </cell>
          <cell r="G222">
            <v>0.18037831527724857</v>
          </cell>
          <cell r="H222">
            <v>3.488777731323571E-2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4.1595563730502437E-4</v>
          </cell>
          <cell r="F223">
            <v>1.0689559669325523E-2</v>
          </cell>
          <cell r="G223">
            <v>0.18014824089551737</v>
          </cell>
          <cell r="H223">
            <v>3.4887777313235772E-2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7.2300448383476725E-4</v>
          </cell>
          <cell r="F224">
            <v>1.3067329589600845E-2</v>
          </cell>
          <cell r="G224">
            <v>0.21484082911806773</v>
          </cell>
          <cell r="H224">
            <v>4.0205632966013233E-2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7.2300448383476725E-4</v>
          </cell>
          <cell r="F225">
            <v>1.3067329589600845E-2</v>
          </cell>
          <cell r="G225">
            <v>0.21484082911806773</v>
          </cell>
          <cell r="H225">
            <v>4.0205632966013233E-2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4.8000486927799797E-2</v>
          </cell>
          <cell r="F226">
            <v>5.9211095643207099E-4</v>
          </cell>
          <cell r="G226">
            <v>7.2142140134475103E-4</v>
          </cell>
          <cell r="H226">
            <v>4.3570058924275303E-4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4.8003417643937105E-2</v>
          </cell>
          <cell r="F227">
            <v>4.8453480635800954E-2</v>
          </cell>
          <cell r="G227">
            <v>4.8907665049442689E-2</v>
          </cell>
          <cell r="H227">
            <v>4.8599226449228983E-2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44.153714761044498</v>
          </cell>
          <cell r="F228">
            <v>61.537609016576504</v>
          </cell>
          <cell r="G228">
            <v>18.111183183440499</v>
          </cell>
          <cell r="H228">
            <v>3.5747100357366399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0.58909492900947691</v>
          </cell>
          <cell r="F229">
            <v>0.82102929756244891</v>
          </cell>
          <cell r="G229">
            <v>0.24163779264026067</v>
          </cell>
          <cell r="H229">
            <v>4.7693462851956123E-2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0.5991006073411731</v>
          </cell>
          <cell r="F230">
            <v>0.8349743421516489</v>
          </cell>
          <cell r="G230">
            <v>0.24574196992456529</v>
          </cell>
          <cell r="H230">
            <v>4.8503528300361504E-2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66.745681606063101</v>
          </cell>
          <cell r="F231">
            <v>49.273085268661468</v>
          </cell>
          <cell r="G231">
            <v>68.195064207808556</v>
          </cell>
          <cell r="H231">
            <v>70.15425552925457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66.745681606063101</v>
          </cell>
          <cell r="F232">
            <v>49.273085268661468</v>
          </cell>
          <cell r="G232">
            <v>68.195064207808556</v>
          </cell>
          <cell r="H232">
            <v>70.15425552925457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3.9052744542684751E-3</v>
          </cell>
          <cell r="F234">
            <v>2.1303748724913166E-3</v>
          </cell>
          <cell r="G234">
            <v>1.1656152769324469E-3</v>
          </cell>
          <cell r="H234">
            <v>2.0736709930895942E-3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3.9052744542684668E-3</v>
          </cell>
          <cell r="F235">
            <v>2.131795122406307E-3</v>
          </cell>
          <cell r="G235">
            <v>1.1668294595125843E-3</v>
          </cell>
          <cell r="H235">
            <v>2.0736709930895942E-3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2.9725898890308948E-3</v>
          </cell>
          <cell r="F236">
            <v>1.5682750174439623E-3</v>
          </cell>
          <cell r="G236">
            <v>9.2529576943191263E-4</v>
          </cell>
          <cell r="H236">
            <v>1.6225512246446276E-3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2.9725898890308948E-3</v>
          </cell>
          <cell r="F237">
            <v>1.5682750174439623E-3</v>
          </cell>
          <cell r="G237">
            <v>9.2529576943191263E-4</v>
          </cell>
          <cell r="H237">
            <v>1.6225512246446276E-3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2.4389136446351999E-2</v>
          </cell>
          <cell r="F238">
            <v>6.0624792254750299E-4</v>
          </cell>
          <cell r="G238">
            <v>6.0537965095237801E-4</v>
          </cell>
          <cell r="H238">
            <v>3.9371297070117298E-4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2.4389136446351999E-2</v>
          </cell>
          <cell r="F239">
            <v>2.4914079589585178E-2</v>
          </cell>
          <cell r="G239">
            <v>2.5257883697051155E-2</v>
          </cell>
          <cell r="H239">
            <v>2.5057044053762301E-2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0.34130473341300771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0.34130473341300771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0.34130473341300799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4.0881154114224397E-5</v>
          </cell>
          <cell r="H243">
            <v>0.196515539351971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5.2754227969384899E-2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7.6873314525937694E-2</v>
          </cell>
          <cell r="F245">
            <v>3.6932554169476897E-2</v>
          </cell>
          <cell r="G245">
            <v>4.2002999552408209E-2</v>
          </cell>
          <cell r="H245">
            <v>2.1228708460275789E-2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55.998559975576455</v>
          </cell>
          <cell r="F246">
            <v>56.566981935709201</v>
          </cell>
          <cell r="G246">
            <v>53.602867861469321</v>
          </cell>
          <cell r="H246">
            <v>53.317327173635171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6.8874049689484448E-2</v>
          </cell>
          <cell r="F247">
            <v>2.4505776132958318E-2</v>
          </cell>
          <cell r="G247">
            <v>3.0212718511762885E-2</v>
          </cell>
          <cell r="H247">
            <v>1.8268198869091892E-2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25.899641467826068</v>
          </cell>
          <cell r="F248">
            <v>56.546035131294865</v>
          </cell>
          <cell r="G248">
            <v>53.584854389274447</v>
          </cell>
          <cell r="H248">
            <v>24.445740956437682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30.24448698759214</v>
          </cell>
          <cell r="F249">
            <v>8.2212750339880528E-2</v>
          </cell>
          <cell r="G249">
            <v>9.0001998022665508E-2</v>
          </cell>
          <cell r="H249">
            <v>28.910848733521593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4.8869125505181899E-5</v>
          </cell>
          <cell r="F250">
            <v>8.4979828002749102E-5</v>
          </cell>
          <cell r="G250">
            <v>2.8898308319408599E-5</v>
          </cell>
          <cell r="H250">
            <v>7.1136688041972495E-5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4.492753252331136</v>
          </cell>
          <cell r="G251">
            <v>4.4928712121157179</v>
          </cell>
          <cell r="H251">
            <v>4.4929392490715694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/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/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1.03931012522124E-5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1.03931012522124E-5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1.7978556816269057E-4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1.7978556816269057E-4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1.7978556816269001E-4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5.1833855917472101E-5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5.1833855917472101E-5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6.507014407313485</v>
          </cell>
          <cell r="F261">
            <v>7.3098093015021393</v>
          </cell>
          <cell r="G261">
            <v>8.3571361255006948</v>
          </cell>
          <cell r="H261">
            <v>7.7711274439721532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1689.2969367266601</v>
          </cell>
          <cell r="F262">
            <v>1897.7118672435599</v>
          </cell>
          <cell r="G262">
            <v>2169.6101426713599</v>
          </cell>
          <cell r="H262">
            <v>2017.4754448460801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18.203630783692468</v>
          </cell>
          <cell r="F263">
            <v>20.449481328055573</v>
          </cell>
          <cell r="G263">
            <v>23.37941964085519</v>
          </cell>
          <cell r="H263">
            <v>21.740037121186226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6.2944844115577101E-6</v>
          </cell>
          <cell r="G264">
            <v>3.3303223640693103E-2</v>
          </cell>
          <cell r="H264">
            <v>4.7093043683537297E-2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0.27864794579481322</v>
          </cell>
          <cell r="F265">
            <v>0.27853140953903349</v>
          </cell>
          <cell r="G265">
            <v>0.3117939057380455</v>
          </cell>
          <cell r="H265">
            <v>0.28992250172190026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0.43687091603376721</v>
          </cell>
          <cell r="F266">
            <v>0.55213811081003705</v>
          </cell>
          <cell r="G266">
            <v>1.6042881164276321</v>
          </cell>
          <cell r="H266">
            <v>3.1475976994673842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0.43687091603376721</v>
          </cell>
          <cell r="F267">
            <v>0.55213811081003705</v>
          </cell>
          <cell r="G267">
            <v>1.6042881164276321</v>
          </cell>
          <cell r="H267">
            <v>3.1475976994673842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3.5170121683551265</v>
          </cell>
          <cell r="F268">
            <v>3.1940388727420679</v>
          </cell>
          <cell r="G268">
            <v>2.7543344325409973</v>
          </cell>
          <cell r="H268">
            <v>2.6599118677478026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3.5170121683551265</v>
          </cell>
          <cell r="F269">
            <v>3.1940388727420679</v>
          </cell>
          <cell r="G269">
            <v>2.7543344325409973</v>
          </cell>
          <cell r="H269">
            <v>2.6599118677478026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2.4517557807960362</v>
          </cell>
          <cell r="F270">
            <v>2.2126698813532819</v>
          </cell>
          <cell r="G270">
            <v>1.8971086139180009</v>
          </cell>
          <cell r="H270">
            <v>1.71362856189693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3.5025082582800544</v>
          </cell>
          <cell r="F271">
            <v>3.1609569733618343</v>
          </cell>
          <cell r="G271">
            <v>2.7101551627400027</v>
          </cell>
          <cell r="H271">
            <v>2.4480408027098997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0.31188034914670398</v>
          </cell>
          <cell r="F272">
            <v>3.24113428251256E-5</v>
          </cell>
          <cell r="G272">
            <v>3.2758381207538403E-5</v>
          </cell>
          <cell r="H272">
            <v>5.4685075001337398E-5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0.31188034914670398</v>
          </cell>
          <cell r="F273">
            <v>0.31191276048952898</v>
          </cell>
          <cell r="G273">
            <v>0.31194551887073702</v>
          </cell>
          <cell r="H273">
            <v>0.31200020394573802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1537.95890866073</v>
          </cell>
          <cell r="F280">
            <v>1510.5078021797899</v>
          </cell>
          <cell r="G280">
            <v>1402.0948018409699</v>
          </cell>
          <cell r="H280">
            <v>1097.7432635274099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27.481314450275502</v>
          </cell>
          <cell r="F281">
            <v>28.488462048411687</v>
          </cell>
          <cell r="G281">
            <v>25.513533100884118</v>
          </cell>
          <cell r="H281">
            <v>20.120063683144217</v>
          </cell>
        </row>
        <row r="282">
          <cell r="B282" t="str">
            <v>D-SNGA</v>
          </cell>
          <cell r="C282" t="str">
            <v>VAR_fout</v>
          </cell>
          <cell r="D282" t="str">
            <v>RSH2</v>
          </cell>
          <cell r="E282"/>
          <cell r="F282"/>
          <cell r="G282"/>
          <cell r="H282">
            <v>3.5615311531140288E-2</v>
          </cell>
        </row>
        <row r="283">
          <cell r="B283" t="str">
            <v>D-SNGA</v>
          </cell>
          <cell r="C283" t="str">
            <v>VAR_fin</v>
          </cell>
          <cell r="D283" t="str">
            <v>NGA</v>
          </cell>
          <cell r="E283">
            <v>27.26877497625409</v>
          </cell>
          <cell r="F283">
            <v>26.782053230138036</v>
          </cell>
          <cell r="G283">
            <v>24.85983691207387</v>
          </cell>
          <cell r="H283">
            <v>19.46353304126616</v>
          </cell>
        </row>
        <row r="284">
          <cell r="B284" t="str">
            <v>D-SNGA</v>
          </cell>
          <cell r="C284" t="str">
            <v>VAR_fin</v>
          </cell>
          <cell r="D284" t="str">
            <v>BNGA</v>
          </cell>
          <cell r="E284">
            <v>0.30033181946995979</v>
          </cell>
          <cell r="F284">
            <v>1.7974186171672832</v>
          </cell>
          <cell r="G284">
            <v>0.73520222141499658</v>
          </cell>
          <cell r="H284">
            <v>0.72140289686061543</v>
          </cell>
        </row>
        <row r="285">
          <cell r="B285" t="str">
            <v>D-SNGA</v>
          </cell>
          <cell r="C285" t="str">
            <v>VAR_fin</v>
          </cell>
          <cell r="D285" t="str">
            <v>H2</v>
          </cell>
          <cell r="E285"/>
          <cell r="F285"/>
          <cell r="G285"/>
          <cell r="H285">
            <v>3.5588837948649373E-2</v>
          </cell>
        </row>
        <row r="286">
          <cell r="B286" t="str">
            <v>D-SNGA</v>
          </cell>
          <cell r="C286" t="str">
            <v>VAR_ncap</v>
          </cell>
          <cell r="D286" t="str">
            <v>-</v>
          </cell>
          <cell r="E286">
            <v>2.2482027123936501E-4</v>
          </cell>
          <cell r="F286">
            <v>4.6381222786838498E-6</v>
          </cell>
          <cell r="G286">
            <v>7.6925504290318894E-6</v>
          </cell>
          <cell r="H286">
            <v>1.06650827800905E-5</v>
          </cell>
        </row>
        <row r="287">
          <cell r="B287" t="str">
            <v>D-SNGA</v>
          </cell>
          <cell r="C287" t="str">
            <v>VAR_cap</v>
          </cell>
          <cell r="D287" t="str">
            <v>-</v>
          </cell>
          <cell r="E287">
            <v>2.2352770218963793</v>
          </cell>
          <cell r="F287">
            <v>2.235281660018658</v>
          </cell>
          <cell r="G287">
            <v>2.2352893525690871</v>
          </cell>
          <cell r="H287">
            <v>2.2353000176518671</v>
          </cell>
        </row>
        <row r="288">
          <cell r="B288" t="str">
            <v>RHES-CHPWOD</v>
          </cell>
          <cell r="C288" t="str">
            <v>VAR_ncap</v>
          </cell>
          <cell r="D288" t="str">
            <v>-</v>
          </cell>
          <cell r="E288"/>
          <cell r="F288"/>
          <cell r="G288"/>
          <cell r="H288">
            <v>5.54558305762179E-5</v>
          </cell>
        </row>
        <row r="289">
          <cell r="B289" t="str">
            <v>RHES-CHPWOD</v>
          </cell>
          <cell r="C289" t="str">
            <v>VAR_cap</v>
          </cell>
          <cell r="D289" t="str">
            <v>-</v>
          </cell>
          <cell r="E289"/>
          <cell r="F289"/>
          <cell r="G289"/>
          <cell r="H289">
            <v>5.54558305762179E-5</v>
          </cell>
        </row>
        <row r="290">
          <cell r="B290" t="str">
            <v>G-INTC-RES</v>
          </cell>
          <cell r="C290" t="str">
            <v>VAR_fout</v>
          </cell>
          <cell r="D290" t="str">
            <v>RHNS_ELC</v>
          </cell>
          <cell r="E290">
            <v>12.052389129778559</v>
          </cell>
          <cell r="F290">
            <v>14.631568261966759</v>
          </cell>
          <cell r="G290">
            <v>14.64358345993208</v>
          </cell>
          <cell r="H290">
            <v>11.207905954708243</v>
          </cell>
        </row>
        <row r="291">
          <cell r="B291" t="str">
            <v>G-INTC-RES</v>
          </cell>
          <cell r="C291" t="str">
            <v>VAR_fout</v>
          </cell>
          <cell r="D291" t="str">
            <v>ELC35</v>
          </cell>
          <cell r="E291">
            <v>7.3755911754005796E-2</v>
          </cell>
          <cell r="F291">
            <v>2.3714360915231741E-2</v>
          </cell>
          <cell r="G291">
            <v>2.7195926963509788E-2</v>
          </cell>
          <cell r="H291">
            <v>1.7364805769466602E-2</v>
          </cell>
        </row>
        <row r="292">
          <cell r="B292" t="str">
            <v>G-INTC-RES</v>
          </cell>
          <cell r="C292" t="str">
            <v>VAR_fout</v>
          </cell>
          <cell r="D292" t="str">
            <v>RHES_ELC</v>
          </cell>
          <cell r="E292">
            <v>21.065778023308404</v>
          </cell>
          <cell r="F292">
            <v>17.832146115051213</v>
          </cell>
          <cell r="G292">
            <v>17.606830258713355</v>
          </cell>
          <cell r="H292">
            <v>15.703468653764704</v>
          </cell>
        </row>
        <row r="293">
          <cell r="B293" t="str">
            <v>G-INTC-RES</v>
          </cell>
          <cell r="C293" t="str">
            <v>VAR_fout</v>
          </cell>
          <cell r="D293" t="str">
            <v>RHNM_ELC</v>
          </cell>
          <cell r="E293">
            <v>11.294539401647182</v>
          </cell>
          <cell r="F293">
            <v>14.65516278579069</v>
          </cell>
          <cell r="G293">
            <v>14.31838068419532</v>
          </cell>
          <cell r="H293">
            <v>12.273183354708921</v>
          </cell>
        </row>
        <row r="294">
          <cell r="B294" t="str">
            <v>G-INTC-RES</v>
          </cell>
          <cell r="C294" t="str">
            <v>VAR_fout</v>
          </cell>
          <cell r="D294" t="str">
            <v>RHEM_ELC</v>
          </cell>
          <cell r="E294">
            <v>22.200116590612769</v>
          </cell>
          <cell r="F294">
            <v>18.275830761425805</v>
          </cell>
          <cell r="G294">
            <v>15.821319117380055</v>
          </cell>
          <cell r="H294">
            <v>14.463096000002631</v>
          </cell>
        </row>
        <row r="295">
          <cell r="B295" t="str">
            <v>G-INTC-RES</v>
          </cell>
          <cell r="C295" t="str">
            <v>VAR_fin</v>
          </cell>
          <cell r="D295" t="str">
            <v>ELC5</v>
          </cell>
          <cell r="E295">
            <v>66.685761812195778</v>
          </cell>
          <cell r="F295">
            <v>65.418422285149688</v>
          </cell>
          <cell r="G295">
            <v>62.417309447184294</v>
          </cell>
          <cell r="H295">
            <v>53.664574321303903</v>
          </cell>
        </row>
        <row r="296">
          <cell r="B296" t="str">
            <v>G-INTC-RES</v>
          </cell>
          <cell r="C296" t="str">
            <v>VAR_ncap</v>
          </cell>
          <cell r="D296" t="str">
            <v>-</v>
          </cell>
          <cell r="E296">
            <v>2.1652859938815599E-6</v>
          </cell>
          <cell r="F296">
            <v>2.27026822670973E-6</v>
          </cell>
          <cell r="G296">
            <v>2.60337773771722E-6</v>
          </cell>
          <cell r="H296">
            <v>6.6203603206118198E-6</v>
          </cell>
        </row>
        <row r="297">
          <cell r="B297" t="str">
            <v>G-INTC-RES</v>
          </cell>
          <cell r="C297" t="str">
            <v>VAR_cap</v>
          </cell>
          <cell r="D297" t="str">
            <v>-</v>
          </cell>
          <cell r="E297">
            <v>4.3300925142827298</v>
          </cell>
          <cell r="F297">
            <v>4.3300932182976792</v>
          </cell>
          <cell r="G297">
            <v>4.3300969498369506</v>
          </cell>
          <cell r="H297">
            <v>4.3301031956663714</v>
          </cell>
        </row>
        <row r="298">
          <cell r="B298" t="str">
            <v>SCOM-CHPNGA</v>
          </cell>
          <cell r="C298" t="str">
            <v>VAR_fout</v>
          </cell>
          <cell r="D298" t="str">
            <v>CO2_S</v>
          </cell>
          <cell r="E298">
            <v>108.99525853243</v>
          </cell>
          <cell r="F298">
            <v>98.260247082389498</v>
          </cell>
          <cell r="G298">
            <v>87.055432645654093</v>
          </cell>
          <cell r="H298"/>
        </row>
        <row r="299">
          <cell r="B299" t="str">
            <v>SCOM-CHPNGA</v>
          </cell>
          <cell r="C299" t="str">
            <v>VAR_fout</v>
          </cell>
          <cell r="D299" t="str">
            <v>SCOM_NKEV_GAS_ELC_CHP</v>
          </cell>
          <cell r="E299">
            <v>0.59464229570300875</v>
          </cell>
          <cell r="F299">
            <v>0.62664260984377185</v>
          </cell>
          <cell r="G299">
            <v>0.53747126247534416</v>
          </cell>
          <cell r="H299"/>
        </row>
        <row r="300">
          <cell r="B300" t="str">
            <v>SCOM-CHPNGA</v>
          </cell>
          <cell r="C300" t="str">
            <v>VAR_fout</v>
          </cell>
          <cell r="D300" t="str">
            <v>SCOM_LTH_CHPNGA</v>
          </cell>
          <cell r="E300">
            <v>0.69286105154594424</v>
          </cell>
          <cell r="F300">
            <v>0.75112864504069488</v>
          </cell>
          <cell r="G300">
            <v>0.67123691079052017</v>
          </cell>
          <cell r="H300"/>
        </row>
        <row r="301">
          <cell r="B301" t="str">
            <v>SCOM-CHPNGA</v>
          </cell>
          <cell r="C301" t="str">
            <v>VAR_fin</v>
          </cell>
          <cell r="D301" t="str">
            <v>SNGA</v>
          </cell>
          <cell r="E301">
            <v>1.9325400449012506</v>
          </cell>
          <cell r="F301">
            <v>1.7422029624537152</v>
          </cell>
          <cell r="G301">
            <v>1.5435360398165627</v>
          </cell>
          <cell r="H301"/>
        </row>
        <row r="302">
          <cell r="B302" t="str">
            <v>SCOM-CHPNGA</v>
          </cell>
          <cell r="C302" t="str">
            <v>VAR_ncap</v>
          </cell>
          <cell r="D302" t="str">
            <v>-</v>
          </cell>
          <cell r="E302"/>
          <cell r="F302">
            <v>2.7374575293055599E-2</v>
          </cell>
          <cell r="G302"/>
          <cell r="H302"/>
        </row>
        <row r="303">
          <cell r="B303" t="str">
            <v>SCOM-CHPNGA</v>
          </cell>
          <cell r="C303" t="str">
            <v>VAR_cap</v>
          </cell>
          <cell r="D303" t="str">
            <v>-</v>
          </cell>
          <cell r="E303">
            <v>6.5195402228535926E-2</v>
          </cell>
          <cell r="F303">
            <v>4.8067676275953139E-2</v>
          </cell>
          <cell r="G303">
            <v>3.3877160342709309E-2</v>
          </cell>
          <cell r="H303">
            <v>4.2992398153878994E-3</v>
          </cell>
        </row>
        <row r="304">
          <cell r="B304" t="str">
            <v>D-IPLT</v>
          </cell>
          <cell r="C304" t="str">
            <v>VAR_fout</v>
          </cell>
          <cell r="D304" t="str">
            <v>IPLT</v>
          </cell>
          <cell r="E304">
            <v>0.62589701661237407</v>
          </cell>
          <cell r="F304">
            <v>0.73762225764574341</v>
          </cell>
          <cell r="G304">
            <v>0.77787246306873914</v>
          </cell>
          <cell r="H304">
            <v>0.80006448650634476</v>
          </cell>
        </row>
        <row r="305">
          <cell r="B305" t="str">
            <v>D-IPLT</v>
          </cell>
          <cell r="C305" t="str">
            <v>VAR_fin</v>
          </cell>
          <cell r="D305" t="str">
            <v>PLT</v>
          </cell>
          <cell r="E305">
            <v>0.62589701661237407</v>
          </cell>
          <cell r="F305">
            <v>0.73762225764574341</v>
          </cell>
          <cell r="G305">
            <v>0.77787246306873914</v>
          </cell>
          <cell r="H305">
            <v>0.80006448650634476</v>
          </cell>
        </row>
        <row r="306">
          <cell r="B306" t="str">
            <v>LTH-STG</v>
          </cell>
          <cell r="C306" t="str">
            <v>VAR_fout</v>
          </cell>
          <cell r="D306" t="str">
            <v>AUX_LTH-STG_OUT</v>
          </cell>
          <cell r="E306">
            <v>2.3830718402821437E-4</v>
          </cell>
          <cell r="F306">
            <v>1.1917525492749265E-2</v>
          </cell>
          <cell r="G306">
            <v>8.1968048340712779E-2</v>
          </cell>
          <cell r="H306">
            <v>2.3177125249635749E-2</v>
          </cell>
        </row>
        <row r="307">
          <cell r="B307" t="str">
            <v>LTH-STG</v>
          </cell>
          <cell r="C307" t="str">
            <v>VAR_fout</v>
          </cell>
          <cell r="D307" t="str">
            <v>LTH</v>
          </cell>
          <cell r="E307">
            <v>2.3830718402821378E-4</v>
          </cell>
          <cell r="F307">
            <v>1.1925470509744416E-2</v>
          </cell>
          <cell r="G307">
            <v>8.2053431724400924E-2</v>
          </cell>
          <cell r="H307">
            <v>2.3177125249635749E-2</v>
          </cell>
        </row>
        <row r="308">
          <cell r="B308" t="str">
            <v>LTH-STG</v>
          </cell>
          <cell r="C308" t="str">
            <v>VAR_fin</v>
          </cell>
          <cell r="D308" t="str">
            <v>AUX_LTH-STG_IN</v>
          </cell>
          <cell r="E308">
            <v>3.5265607920999747E-4</v>
          </cell>
          <cell r="F308">
            <v>1.5695409032595916E-2</v>
          </cell>
          <cell r="G308">
            <v>0.10582882327974465</v>
          </cell>
          <cell r="H308">
            <v>2.8988891257328103E-2</v>
          </cell>
        </row>
        <row r="309">
          <cell r="B309" t="str">
            <v>LTH-STG</v>
          </cell>
          <cell r="C309" t="str">
            <v>VAR_fin</v>
          </cell>
          <cell r="D309" t="str">
            <v>LTH</v>
          </cell>
          <cell r="E309">
            <v>3.5265607920999747E-4</v>
          </cell>
          <cell r="F309">
            <v>1.5695409032595916E-2</v>
          </cell>
          <cell r="G309">
            <v>0.10582882327974465</v>
          </cell>
          <cell r="H309">
            <v>2.8988891257328103E-2</v>
          </cell>
        </row>
        <row r="310">
          <cell r="B310" t="str">
            <v>LTH-STG</v>
          </cell>
          <cell r="C310" t="str">
            <v>VAR_ncap</v>
          </cell>
          <cell r="D310" t="str">
            <v>-</v>
          </cell>
          <cell r="E310">
            <v>5.2318430783892004E-3</v>
          </cell>
          <cell r="F310">
            <v>9.1020212794054695E-5</v>
          </cell>
          <cell r="G310">
            <v>5.5659159761118502E-5</v>
          </cell>
          <cell r="H310">
            <v>3.2423550911561898E-5</v>
          </cell>
        </row>
        <row r="311">
          <cell r="B311" t="str">
            <v>LTH-STG</v>
          </cell>
          <cell r="C311" t="str">
            <v>VAR_cap</v>
          </cell>
          <cell r="D311" t="str">
            <v>-</v>
          </cell>
          <cell r="E311">
            <v>5.3893737521377204E-3</v>
          </cell>
          <cell r="F311">
            <v>5.4609808308655724E-3</v>
          </cell>
          <cell r="G311">
            <v>5.4822867210919234E-3</v>
          </cell>
          <cell r="H311">
            <v>4.8459347654554574E-3</v>
          </cell>
        </row>
        <row r="312">
          <cell r="B312" t="str">
            <v>ITOT-CHPOIL</v>
          </cell>
          <cell r="C312" t="str">
            <v>VAR_fout</v>
          </cell>
          <cell r="D312" t="str">
            <v>ITOT_LTH_CHP</v>
          </cell>
          <cell r="E312">
            <v>0.9300285020017458</v>
          </cell>
          <cell r="F312">
            <v>2.0129949751913112</v>
          </cell>
          <cell r="G312">
            <v>1.3104198277838217</v>
          </cell>
          <cell r="H312">
            <v>1.2420320861859517</v>
          </cell>
        </row>
        <row r="313">
          <cell r="B313" t="str">
            <v>ITOT-CHPOIL</v>
          </cell>
          <cell r="C313" t="str">
            <v>VAR_fout</v>
          </cell>
          <cell r="D313" t="str">
            <v>ITOT_NKEV_OIL_ELC_CHP</v>
          </cell>
          <cell r="E313">
            <v>7.0553886358753079E-2</v>
          </cell>
          <cell r="F313">
            <v>0.16656546239737904</v>
          </cell>
          <cell r="G313">
            <v>0.12551260495420383</v>
          </cell>
          <cell r="H313">
            <v>0.16131818156861827</v>
          </cell>
        </row>
        <row r="314">
          <cell r="B314" t="str">
            <v>ITOT-CHPOIL</v>
          </cell>
          <cell r="C314" t="str">
            <v>VAR_fout</v>
          </cell>
          <cell r="D314" t="str">
            <v>CO2_I</v>
          </cell>
          <cell r="E314">
            <v>29.418645080039699</v>
          </cell>
          <cell r="F314">
            <v>50.022835126882399</v>
          </cell>
          <cell r="G314">
            <v>37.906287041091304</v>
          </cell>
          <cell r="H314">
            <v>45.336099318277398</v>
          </cell>
        </row>
        <row r="315">
          <cell r="B315" t="str">
            <v>ITOT-CHPOIL</v>
          </cell>
          <cell r="C315" t="str">
            <v>VAR_fin</v>
          </cell>
          <cell r="D315" t="str">
            <v>ILFO</v>
          </cell>
          <cell r="E315">
            <v>0.39916750447814997</v>
          </cell>
          <cell r="F315">
            <v>0.67873589045973448</v>
          </cell>
          <cell r="G315">
            <v>0.51433225293203977</v>
          </cell>
          <cell r="H315">
            <v>0.61514381707296373</v>
          </cell>
        </row>
        <row r="316">
          <cell r="B316" t="str">
            <v>ITOT-CHPOIL</v>
          </cell>
          <cell r="C316" t="str">
            <v>VAR_ncap</v>
          </cell>
          <cell r="D316" t="str">
            <v>-</v>
          </cell>
          <cell r="E316"/>
          <cell r="F316">
            <v>2.3246857721985099E-2</v>
          </cell>
          <cell r="G316"/>
          <cell r="H316"/>
        </row>
        <row r="317">
          <cell r="B317" t="str">
            <v>ITOT-CHPOIL</v>
          </cell>
          <cell r="C317" t="str">
            <v>VAR_cap</v>
          </cell>
          <cell r="D317" t="str">
            <v>-</v>
          </cell>
          <cell r="E317">
            <v>8.2975477927690958E-3</v>
          </cell>
          <cell r="F317">
            <v>2.416230990243735E-2</v>
          </cell>
          <cell r="G317">
            <v>2.4136818839332119E-2</v>
          </cell>
          <cell r="H317">
            <v>2.4120541974585231E-2</v>
          </cell>
        </row>
        <row r="318">
          <cell r="B318" t="str">
            <v>ENUC_GOE</v>
          </cell>
          <cell r="C318" t="str">
            <v>VAR_fout</v>
          </cell>
          <cell r="D318" t="str">
            <v>ELC</v>
          </cell>
          <cell r="E318">
            <v>29.714420988585818</v>
          </cell>
          <cell r="F318">
            <v>29.714130131201237</v>
          </cell>
          <cell r="G318">
            <v>29.714095430112014</v>
          </cell>
          <cell r="H318">
            <v>29.689213115416308</v>
          </cell>
        </row>
        <row r="319">
          <cell r="B319" t="str">
            <v>ENUC_GOE</v>
          </cell>
          <cell r="C319" t="str">
            <v>VAR_fin</v>
          </cell>
          <cell r="D319" t="str">
            <v>URN</v>
          </cell>
          <cell r="E319">
            <v>89.580638628414221</v>
          </cell>
          <cell r="F319">
            <v>89.579761775041561</v>
          </cell>
          <cell r="G319">
            <v>89.579657160997826</v>
          </cell>
          <cell r="H319">
            <v>89.504643966500382</v>
          </cell>
        </row>
        <row r="320">
          <cell r="B320" t="str">
            <v>ENUC_GOE</v>
          </cell>
          <cell r="C320" t="str">
            <v>VAR_cap</v>
          </cell>
          <cell r="D320" t="str">
            <v>-</v>
          </cell>
          <cell r="E320">
            <v>1.0099996884232529</v>
          </cell>
          <cell r="F320">
            <v>1.0099988042215964</v>
          </cell>
          <cell r="G320">
            <v>1.0100002942683848</v>
          </cell>
          <cell r="H320">
            <v>1.0100006141621678</v>
          </cell>
        </row>
        <row r="321">
          <cell r="B321" t="str">
            <v>D-RNGA</v>
          </cell>
          <cell r="C321" t="str">
            <v>VAR_fout</v>
          </cell>
          <cell r="D321" t="str">
            <v>CO2</v>
          </cell>
          <cell r="E321">
            <v>2686.29232035222</v>
          </cell>
          <cell r="F321">
            <v>2605.0618149319198</v>
          </cell>
          <cell r="G321">
            <v>2636.0764012387099</v>
          </cell>
          <cell r="H321">
            <v>2157.9838635814299</v>
          </cell>
        </row>
        <row r="322">
          <cell r="B322" t="str">
            <v>D-RNGA</v>
          </cell>
          <cell r="C322" t="str">
            <v>VAR_fout</v>
          </cell>
          <cell r="D322" t="str">
            <v>RNGA</v>
          </cell>
          <cell r="E322">
            <v>47.78066398916684</v>
          </cell>
          <cell r="F322">
            <v>48.283682865512411</v>
          </cell>
          <cell r="G322">
            <v>47.460370951729558</v>
          </cell>
          <cell r="H322">
            <v>39.099934607424856</v>
          </cell>
        </row>
        <row r="323">
          <cell r="B323" t="str">
            <v>D-RNGA</v>
          </cell>
          <cell r="C323" t="str">
            <v>VAR_fout</v>
          </cell>
          <cell r="D323" t="str">
            <v>RSH2</v>
          </cell>
          <cell r="E323"/>
          <cell r="F323"/>
          <cell r="G323"/>
          <cell r="H323">
            <v>4.2346506482894543E-2</v>
          </cell>
        </row>
        <row r="324">
          <cell r="B324" t="str">
            <v>D-RNGA</v>
          </cell>
          <cell r="C324" t="str">
            <v>VAR_fin</v>
          </cell>
          <cell r="D324" t="str">
            <v>NGA</v>
          </cell>
          <cell r="E324">
            <v>47.629296460145738</v>
          </cell>
          <cell r="F324">
            <v>46.18903927184266</v>
          </cell>
          <cell r="G324">
            <v>46.738943284374216</v>
          </cell>
          <cell r="H324">
            <v>38.262125240805588</v>
          </cell>
        </row>
        <row r="325">
          <cell r="B325" t="str">
            <v>D-RNGA</v>
          </cell>
          <cell r="C325" t="str">
            <v>VAR_fin</v>
          </cell>
          <cell r="D325" t="str">
            <v>BNGA</v>
          </cell>
          <cell r="E325">
            <v>0.30400857413150201</v>
          </cell>
          <cell r="F325">
            <v>2.2488915927357054</v>
          </cell>
          <cell r="G325">
            <v>0.87304549805444343</v>
          </cell>
          <cell r="H325">
            <v>0.96348454954207119</v>
          </cell>
        </row>
        <row r="326">
          <cell r="B326" t="str">
            <v>D-RNGA</v>
          </cell>
          <cell r="C326" t="str">
            <v>VAR_fin</v>
          </cell>
          <cell r="D326" t="str">
            <v>H2</v>
          </cell>
          <cell r="E326"/>
          <cell r="F326"/>
          <cell r="G326"/>
          <cell r="H326">
            <v>4.232757097861288E-2</v>
          </cell>
        </row>
        <row r="327">
          <cell r="B327" t="str">
            <v>D-RNGA</v>
          </cell>
          <cell r="C327" t="str">
            <v>VAR_ncap</v>
          </cell>
          <cell r="D327" t="str">
            <v>-</v>
          </cell>
          <cell r="E327">
            <v>1.4108689698768901E-5</v>
          </cell>
          <cell r="F327">
            <v>2.00863194670824E-6</v>
          </cell>
          <cell r="G327">
            <v>2.4428176174718799E-6</v>
          </cell>
          <cell r="H327">
            <v>2.0258802884127202E-6</v>
          </cell>
        </row>
        <row r="328">
          <cell r="B328" t="str">
            <v>D-RNGA</v>
          </cell>
          <cell r="C328" t="str">
            <v>VAR_cap</v>
          </cell>
          <cell r="D328" t="str">
            <v>-</v>
          </cell>
          <cell r="E328">
            <v>3.0972541160856188</v>
          </cell>
          <cell r="F328">
            <v>3.0972561247175654</v>
          </cell>
          <cell r="G328">
            <v>3.0972585675351829</v>
          </cell>
          <cell r="H328">
            <v>3.0972605934154713</v>
          </cell>
        </row>
        <row r="329">
          <cell r="B329" t="str">
            <v>ITOT-CHPHFC</v>
          </cell>
          <cell r="C329" t="str">
            <v>VAR_fout</v>
          </cell>
          <cell r="D329" t="str">
            <v>ITOT_LTH_CHP</v>
          </cell>
          <cell r="E329"/>
          <cell r="F329"/>
          <cell r="G329"/>
          <cell r="H329"/>
        </row>
        <row r="330">
          <cell r="B330" t="str">
            <v>ITOT-CHPHFC</v>
          </cell>
          <cell r="C330" t="str">
            <v>VAR_fout</v>
          </cell>
          <cell r="D330" t="str">
            <v>ITOT_KEV_HFC_ELC_CHP</v>
          </cell>
          <cell r="E330"/>
          <cell r="F330"/>
          <cell r="G330"/>
          <cell r="H330"/>
        </row>
        <row r="331">
          <cell r="B331" t="str">
            <v>ITOT-CHPHFC</v>
          </cell>
          <cell r="C331" t="str">
            <v>VAR_fin</v>
          </cell>
          <cell r="D331" t="str">
            <v>IH2</v>
          </cell>
          <cell r="E331"/>
          <cell r="F331"/>
          <cell r="G331"/>
          <cell r="H331"/>
        </row>
        <row r="332">
          <cell r="B332" t="str">
            <v>ITOT-CHPHFC</v>
          </cell>
          <cell r="C332" t="str">
            <v>VAR_ncap</v>
          </cell>
          <cell r="D332" t="str">
            <v>-</v>
          </cell>
          <cell r="E332"/>
          <cell r="F332"/>
          <cell r="G332"/>
          <cell r="H332"/>
        </row>
        <row r="333">
          <cell r="B333" t="str">
            <v>ITOT-CHPHFC</v>
          </cell>
          <cell r="C333" t="str">
            <v>VAR_cap</v>
          </cell>
          <cell r="D333" t="str">
            <v>-</v>
          </cell>
          <cell r="E333"/>
          <cell r="F333"/>
          <cell r="G333"/>
          <cell r="H333"/>
        </row>
        <row r="334">
          <cell r="B334" t="str">
            <v>G-INTC-TRA</v>
          </cell>
          <cell r="C334" t="str">
            <v>VAR_fout</v>
          </cell>
          <cell r="D334" t="str">
            <v>TRAN_ELC</v>
          </cell>
          <cell r="E334">
            <v>10.665638605394875</v>
          </cell>
          <cell r="F334">
            <v>12.35304642969769</v>
          </cell>
          <cell r="G334">
            <v>15.637667288954495</v>
          </cell>
          <cell r="H334">
            <v>35.97432896002811</v>
          </cell>
        </row>
        <row r="335">
          <cell r="B335" t="str">
            <v>G-INTC-TRA</v>
          </cell>
          <cell r="C335" t="str">
            <v>VAR_fin</v>
          </cell>
          <cell r="D335" t="str">
            <v>ELC3</v>
          </cell>
          <cell r="E335">
            <v>9.8452048665183423</v>
          </cell>
          <cell r="F335">
            <v>12.284901901113448</v>
          </cell>
          <cell r="G335">
            <v>15.563116958273007</v>
          </cell>
          <cell r="H335">
            <v>25.28888471447522</v>
          </cell>
        </row>
        <row r="336">
          <cell r="B336" t="str">
            <v>G-INTC-TRA</v>
          </cell>
          <cell r="C336" t="str">
            <v>VAR_fin</v>
          </cell>
          <cell r="D336" t="str">
            <v>ELC5</v>
          </cell>
          <cell r="E336">
            <v>0.82043373887652749</v>
          </cell>
          <cell r="F336">
            <v>6.8144528584240402E-2</v>
          </cell>
          <cell r="G336">
            <v>7.4550330681487698E-2</v>
          </cell>
          <cell r="H336">
            <v>10.685444245552905</v>
          </cell>
        </row>
        <row r="337">
          <cell r="B337" t="str">
            <v>G-INTC-TRA</v>
          </cell>
          <cell r="C337" t="str">
            <v>VAR_ncap</v>
          </cell>
          <cell r="D337" t="str">
            <v>-</v>
          </cell>
          <cell r="E337">
            <v>3.7692181566143303E-5</v>
          </cell>
          <cell r="F337">
            <v>5.5100207584019301E-5</v>
          </cell>
          <cell r="G337">
            <v>7.6574684491305403E-2</v>
          </cell>
          <cell r="H337">
            <v>0.43563079121271803</v>
          </cell>
        </row>
        <row r="338">
          <cell r="B338" t="str">
            <v>G-INTC-TRA</v>
          </cell>
          <cell r="C338" t="str">
            <v>VAR_cap</v>
          </cell>
          <cell r="D338" t="str">
            <v>-</v>
          </cell>
          <cell r="E338">
            <v>0.86351880627381705</v>
          </cell>
          <cell r="F338">
            <v>0.86353106140287694</v>
          </cell>
          <cell r="G338">
            <v>0.86361159866296722</v>
          </cell>
          <cell r="H338">
            <v>1.1798657011997131</v>
          </cell>
        </row>
        <row r="339">
          <cell r="B339" t="str">
            <v>SCOM-SWHSTG-CHPBIO</v>
          </cell>
          <cell r="C339" t="str">
            <v>VAR_fout</v>
          </cell>
          <cell r="D339" t="str">
            <v>AUX_SCOM-CHPBIO_OUT</v>
          </cell>
          <cell r="E339">
            <v>2.4911826794072115E-4</v>
          </cell>
          <cell r="F339">
            <v>1.9371449643385047E-3</v>
          </cell>
          <cell r="G339">
            <v>7.7799432240265984</v>
          </cell>
          <cell r="H339">
            <v>8.8674617432371114</v>
          </cell>
        </row>
        <row r="340">
          <cell r="B340" t="str">
            <v>SCOM-SWHSTG-CHPBIO</v>
          </cell>
          <cell r="C340" t="str">
            <v>VAR_fout</v>
          </cell>
          <cell r="D340" t="str">
            <v>SCOM_LTH_CHPBIO</v>
          </cell>
          <cell r="E340">
            <v>2.4911826794072158E-4</v>
          </cell>
          <cell r="F340">
            <v>1.9387283267614647E-3</v>
          </cell>
          <cell r="G340">
            <v>7.7898792945553756</v>
          </cell>
          <cell r="H340">
            <v>8.8674617432370937</v>
          </cell>
        </row>
        <row r="341">
          <cell r="B341" t="str">
            <v>SCOM-SWHSTG-CHPBIO</v>
          </cell>
          <cell r="C341" t="str">
            <v>VAR_fin</v>
          </cell>
          <cell r="D341" t="str">
            <v>SCOM_LTH_CHPBIO</v>
          </cell>
          <cell r="E341">
            <v>2.0281391209855005E-4</v>
          </cell>
          <cell r="F341">
            <v>2.397827587306224E-3</v>
          </cell>
          <cell r="G341">
            <v>9.2734231368570974</v>
          </cell>
          <cell r="H341">
            <v>10.192434411286341</v>
          </cell>
        </row>
        <row r="342">
          <cell r="B342" t="str">
            <v>SCOM-SWHSTG-CHPBIO</v>
          </cell>
          <cell r="C342" t="str">
            <v>VAR_fin</v>
          </cell>
          <cell r="D342" t="str">
            <v>AUX_SCOM-CHPBIO_IN</v>
          </cell>
          <cell r="E342">
            <v>2.0281391209855005E-4</v>
          </cell>
          <cell r="F342">
            <v>2.397827587306224E-3</v>
          </cell>
          <cell r="G342">
            <v>9.2734231368570974</v>
          </cell>
          <cell r="H342">
            <v>10.192434411286341</v>
          </cell>
        </row>
        <row r="343">
          <cell r="B343" t="str">
            <v>SCOM-SWHSTG-CHPBIO</v>
          </cell>
          <cell r="C343" t="str">
            <v>VAR_ncap</v>
          </cell>
          <cell r="D343" t="str">
            <v>-</v>
          </cell>
          <cell r="E343">
            <v>6.0324867494537297E-2</v>
          </cell>
          <cell r="F343">
            <v>8.7350868152205098E-4</v>
          </cell>
          <cell r="G343">
            <v>0.42990229439920102</v>
          </cell>
          <cell r="H343">
            <v>6.68374648816802E-2</v>
          </cell>
        </row>
        <row r="344">
          <cell r="B344" t="str">
            <v>SCOM-SWHSTG-CHPBIO</v>
          </cell>
          <cell r="C344" t="str">
            <v>VAR_cap</v>
          </cell>
          <cell r="D344" t="str">
            <v>-</v>
          </cell>
          <cell r="E344">
            <v>6.0324867494537297E-2</v>
          </cell>
          <cell r="F344">
            <v>6.1117540822152323E-2</v>
          </cell>
          <cell r="G344">
            <v>0.490661630863864</v>
          </cell>
          <cell r="H344">
            <v>0.55689525979550036</v>
          </cell>
        </row>
        <row r="345">
          <cell r="B345" t="str">
            <v>SCOM-SWHSTG-CHPHFC</v>
          </cell>
          <cell r="C345" t="str">
            <v>VAR_fout</v>
          </cell>
          <cell r="D345" t="str">
            <v>AUX_SCOM-CHPHFC_OUT</v>
          </cell>
          <cell r="E345">
            <v>1.3574239503739913E-3</v>
          </cell>
          <cell r="F345">
            <v>1.0323066755368062E-3</v>
          </cell>
          <cell r="G345">
            <v>2.1088550657524701E-3</v>
          </cell>
          <cell r="H345">
            <v>0.20958740361057995</v>
          </cell>
        </row>
        <row r="346">
          <cell r="B346" t="str">
            <v>SCOM-SWHSTG-CHPHFC</v>
          </cell>
          <cell r="C346" t="str">
            <v>VAR_fout</v>
          </cell>
          <cell r="D346" t="str">
            <v>SCOM_LTH_CHPHFC</v>
          </cell>
          <cell r="E346">
            <v>1.3574239503739937E-3</v>
          </cell>
          <cell r="F346">
            <v>1.0331504511081268E-3</v>
          </cell>
          <cell r="G346">
            <v>2.1115483672412994E-3</v>
          </cell>
          <cell r="H346">
            <v>0.20958740361057956</v>
          </cell>
        </row>
        <row r="347">
          <cell r="B347" t="str">
            <v>SCOM-SWHSTG-CHPHFC</v>
          </cell>
          <cell r="C347" t="str">
            <v>VAR_fin</v>
          </cell>
          <cell r="D347" t="str">
            <v>SCOM_LTH_CHPHFC</v>
          </cell>
          <cell r="E347">
            <v>1.3574239503739937E-3</v>
          </cell>
          <cell r="F347">
            <v>1.0331504511081268E-3</v>
          </cell>
          <cell r="G347">
            <v>2.1115483672412994E-3</v>
          </cell>
          <cell r="H347">
            <v>0.24084482784885469</v>
          </cell>
        </row>
        <row r="348">
          <cell r="B348" t="str">
            <v>SCOM-SWHSTG-CHPHFC</v>
          </cell>
          <cell r="C348" t="str">
            <v>VAR_fin</v>
          </cell>
          <cell r="D348" t="str">
            <v>AUX_SCOM-CHPHFC_IN</v>
          </cell>
          <cell r="E348">
            <v>1.3574239503739937E-3</v>
          </cell>
          <cell r="F348">
            <v>1.0331504511081268E-3</v>
          </cell>
          <cell r="G348">
            <v>2.1115483672412994E-3</v>
          </cell>
          <cell r="H348">
            <v>0.24084482784885469</v>
          </cell>
        </row>
        <row r="349">
          <cell r="B349" t="str">
            <v>SCOM-SWHSTG-CHPHFC</v>
          </cell>
          <cell r="C349" t="str">
            <v>VAR_ncap</v>
          </cell>
          <cell r="D349" t="str">
            <v>-</v>
          </cell>
          <cell r="E349">
            <v>2.5686953925332399E-2</v>
          </cell>
          <cell r="F349">
            <v>1.03471269423694E-3</v>
          </cell>
          <cell r="G349">
            <v>1.1800457365252E-3</v>
          </cell>
          <cell r="H349">
            <v>1.0749498289384001E-3</v>
          </cell>
        </row>
        <row r="350">
          <cell r="B350" t="str">
            <v>SCOM-SWHSTG-CHPHFC</v>
          </cell>
          <cell r="C350" t="str">
            <v>VAR_cap</v>
          </cell>
          <cell r="D350" t="str">
            <v>-</v>
          </cell>
          <cell r="E350">
            <v>2.5686953925332399E-2</v>
          </cell>
          <cell r="F350">
            <v>2.6638977876624712E-2</v>
          </cell>
          <cell r="G350">
            <v>2.7611470872933173E-2</v>
          </cell>
          <cell r="H350">
            <v>2.8171090041334251E-2</v>
          </cell>
        </row>
        <row r="351">
          <cell r="B351" t="str">
            <v>D-IHFO</v>
          </cell>
          <cell r="C351" t="str">
            <v>VAR_fout</v>
          </cell>
          <cell r="D351" t="str">
            <v>CO2</v>
          </cell>
          <cell r="E351">
            <v>213.79241210908199</v>
          </cell>
          <cell r="F351">
            <v>212.85628720739001</v>
          </cell>
          <cell r="G351">
            <v>3.7172709845761398</v>
          </cell>
          <cell r="H351">
            <v>0.355862195401279</v>
          </cell>
        </row>
        <row r="352">
          <cell r="B352" t="str">
            <v>D-IHFO</v>
          </cell>
          <cell r="C352" t="str">
            <v>VAR_fout</v>
          </cell>
          <cell r="D352" t="str">
            <v>IHFO</v>
          </cell>
          <cell r="E352">
            <v>2.7301536321320046</v>
          </cell>
          <cell r="F352">
            <v>2.7181992097309959</v>
          </cell>
          <cell r="G352">
            <v>4.7469976974586547E-2</v>
          </cell>
          <cell r="H352">
            <v>4.5444010651676508E-3</v>
          </cell>
        </row>
        <row r="353">
          <cell r="B353" t="str">
            <v>D-IHFO</v>
          </cell>
          <cell r="C353" t="str">
            <v>VAR_fin</v>
          </cell>
          <cell r="D353" t="str">
            <v>HFO</v>
          </cell>
          <cell r="E353">
            <v>2.7765248325854821</v>
          </cell>
          <cell r="F353">
            <v>2.7643673663297474</v>
          </cell>
          <cell r="G353">
            <v>4.8276246552936893E-2</v>
          </cell>
          <cell r="H353">
            <v>4.6215869532633732E-3</v>
          </cell>
        </row>
        <row r="354">
          <cell r="B354" t="str">
            <v>RHNM-CHPNGA</v>
          </cell>
          <cell r="C354" t="str">
            <v>VAR_fout</v>
          </cell>
          <cell r="D354" t="str">
            <v>CO2_R</v>
          </cell>
          <cell r="E354"/>
          <cell r="F354">
            <v>1.08008994916944</v>
          </cell>
          <cell r="G354">
            <v>5.1095686072255697</v>
          </cell>
          <cell r="H354"/>
        </row>
        <row r="355">
          <cell r="B355" t="str">
            <v>RHNM-CHPNGA</v>
          </cell>
          <cell r="C355" t="str">
            <v>VAR_fout</v>
          </cell>
          <cell r="D355" t="str">
            <v>RHNM_NKEV_GAS_ELC_CHP</v>
          </cell>
          <cell r="E355"/>
          <cell r="F355">
            <v>4.9971412282404978E-3</v>
          </cell>
          <cell r="G355">
            <v>1.2475269824182129E-2</v>
          </cell>
          <cell r="H355"/>
        </row>
        <row r="356">
          <cell r="B356" t="str">
            <v>RHNM-CHPNGA</v>
          </cell>
          <cell r="C356" t="str">
            <v>VAR_fout</v>
          </cell>
          <cell r="D356" t="str">
            <v>RHNM_LTH_CHPNGA</v>
          </cell>
          <cell r="E356"/>
          <cell r="F356">
            <v>1.0750171865258541E-2</v>
          </cell>
          <cell r="G356">
            <v>2.6441836271025136E-2</v>
          </cell>
          <cell r="H356"/>
        </row>
        <row r="357">
          <cell r="B357" t="str">
            <v>RHNM-CHPNGA</v>
          </cell>
          <cell r="C357" t="str">
            <v>VAR_fin</v>
          </cell>
          <cell r="D357" t="str">
            <v>RNGA</v>
          </cell>
          <cell r="E357"/>
          <cell r="F357">
            <v>1.9150531013642592E-2</v>
          </cell>
          <cell r="G357">
            <v>9.0595188071375357E-2</v>
          </cell>
          <cell r="H357"/>
        </row>
        <row r="358">
          <cell r="B358" t="str">
            <v>RHNM-CHPNGA</v>
          </cell>
          <cell r="C358" t="str">
            <v>VAR_ncap</v>
          </cell>
          <cell r="D358" t="str">
            <v>-</v>
          </cell>
          <cell r="E358"/>
          <cell r="F358">
            <v>1.47160414061876E-3</v>
          </cell>
          <cell r="G358"/>
          <cell r="H358"/>
        </row>
        <row r="359">
          <cell r="B359" t="str">
            <v>RHNM-CHPNGA</v>
          </cell>
          <cell r="C359" t="str">
            <v>VAR_cap</v>
          </cell>
          <cell r="D359" t="str">
            <v>-</v>
          </cell>
          <cell r="E359"/>
          <cell r="F359">
            <v>1.47160414061876E-3</v>
          </cell>
          <cell r="G359">
            <v>1.4713865144675917E-3</v>
          </cell>
          <cell r="H359">
            <v>1.4498891717270397E-3</v>
          </cell>
        </row>
        <row r="360">
          <cell r="B360" t="str">
            <v>G-INTC-EXP00-DE</v>
          </cell>
          <cell r="C360" t="str">
            <v>VAR_fout</v>
          </cell>
          <cell r="D360" t="str">
            <v>ELC_E-DE</v>
          </cell>
          <cell r="E360">
            <v>26.493024221127655</v>
          </cell>
          <cell r="F360">
            <v>1.0514877998353319E-2</v>
          </cell>
          <cell r="G360">
            <v>1.2516595336610458E-2</v>
          </cell>
          <cell r="H360">
            <v>9.1876373848008511E-3</v>
          </cell>
        </row>
        <row r="361">
          <cell r="B361" t="str">
            <v>G-INTC-EXP00-DE</v>
          </cell>
          <cell r="C361" t="str">
            <v>VAR_fin</v>
          </cell>
          <cell r="D361" t="str">
            <v>ELC</v>
          </cell>
          <cell r="E361">
            <v>26.493024221127655</v>
          </cell>
          <cell r="F361">
            <v>1.0514877998353319E-2</v>
          </cell>
          <cell r="G361">
            <v>1.2516595336610458E-2</v>
          </cell>
          <cell r="H361">
            <v>9.1876373848008511E-3</v>
          </cell>
        </row>
        <row r="362">
          <cell r="B362" t="str">
            <v>G-INTC-EXP00-DE</v>
          </cell>
          <cell r="C362" t="str">
            <v>VAR_ncap</v>
          </cell>
          <cell r="D362" t="str">
            <v>-</v>
          </cell>
          <cell r="E362">
            <v>2.9647310851364302E-5</v>
          </cell>
          <cell r="F362">
            <v>2.6818609999818801E-5</v>
          </cell>
          <cell r="G362">
            <v>3.8274894036711098E-5</v>
          </cell>
          <cell r="H362">
            <v>2.7552781351220098E-3</v>
          </cell>
        </row>
        <row r="363">
          <cell r="B363" t="str">
            <v>G-INTC-EXP00-DE</v>
          </cell>
          <cell r="C363" t="str">
            <v>VAR_cap</v>
          </cell>
          <cell r="D363" t="str">
            <v>-</v>
          </cell>
          <cell r="E363">
            <v>4.0416624102944976</v>
          </cell>
          <cell r="F363">
            <v>1.5016087388219468E-2</v>
          </cell>
          <cell r="G363">
            <v>1.4865338163779995E-2</v>
          </cell>
          <cell r="H363">
            <v>1.4800028807153254E-2</v>
          </cell>
        </row>
        <row r="364">
          <cell r="B364" t="str">
            <v>CEN-EBAT</v>
          </cell>
          <cell r="C364" t="str">
            <v>VAR_fout</v>
          </cell>
          <cell r="D364" t="str">
            <v>ELC13</v>
          </cell>
          <cell r="E364">
            <v>6.5281552500512124E-2</v>
          </cell>
          <cell r="F364">
            <v>6.1819133058506948E-2</v>
          </cell>
          <cell r="G364">
            <v>6.3527400894878738E-2</v>
          </cell>
          <cell r="H364">
            <v>0.18716294914312429</v>
          </cell>
        </row>
        <row r="365">
          <cell r="B365" t="str">
            <v>CEN-EBAT</v>
          </cell>
          <cell r="C365" t="str">
            <v>VAR_fout</v>
          </cell>
          <cell r="D365" t="str">
            <v>AUX_CEN-EBAT_OUT</v>
          </cell>
          <cell r="E365">
            <v>6.5281552500511875E-2</v>
          </cell>
          <cell r="F365">
            <v>6.1819133058506746E-2</v>
          </cell>
          <cell r="G365">
            <v>6.3527400894878558E-2</v>
          </cell>
          <cell r="H365">
            <v>0.18716294914312365</v>
          </cell>
        </row>
        <row r="366">
          <cell r="B366" t="str">
            <v>CEN-EBAT</v>
          </cell>
          <cell r="C366" t="str">
            <v>VAR_fin</v>
          </cell>
          <cell r="D366" t="str">
            <v>AUX_CEN-EBAT_IN</v>
          </cell>
          <cell r="E366">
            <v>7.568817361514843E-2</v>
          </cell>
          <cell r="F366">
            <v>7.1510951842750053E-2</v>
          </cell>
          <cell r="G366">
            <v>7.3281443349705988E-2</v>
          </cell>
          <cell r="H366">
            <v>0.21589922497023142</v>
          </cell>
        </row>
        <row r="367">
          <cell r="B367" t="str">
            <v>CEN-EBAT</v>
          </cell>
          <cell r="C367" t="str">
            <v>VAR_fin</v>
          </cell>
          <cell r="D367" t="str">
            <v>ELC13</v>
          </cell>
          <cell r="E367">
            <v>7.568817361514843E-2</v>
          </cell>
          <cell r="F367">
            <v>7.1510951842750053E-2</v>
          </cell>
          <cell r="G367">
            <v>7.3281443349705988E-2</v>
          </cell>
          <cell r="H367">
            <v>0.21589922497023142</v>
          </cell>
        </row>
        <row r="368">
          <cell r="B368" t="str">
            <v>CEN-EBAT</v>
          </cell>
          <cell r="C368" t="str">
            <v>VAR_ncap</v>
          </cell>
          <cell r="D368" t="str">
            <v>-</v>
          </cell>
          <cell r="E368">
            <v>1.2706960992768201E-2</v>
          </cell>
          <cell r="F368">
            <v>2.2776678607035101E-5</v>
          </cell>
          <cell r="G368">
            <v>1.65505083251737E-4</v>
          </cell>
          <cell r="H368">
            <v>2.24933384207151E-2</v>
          </cell>
        </row>
        <row r="369">
          <cell r="B369" t="str">
            <v>CEN-EBAT</v>
          </cell>
          <cell r="C369" t="str">
            <v>VAR_cap</v>
          </cell>
          <cell r="D369" t="str">
            <v>-</v>
          </cell>
          <cell r="E369">
            <v>1.2706960992768201E-2</v>
          </cell>
          <cell r="F369">
            <v>1.271593329609862E-2</v>
          </cell>
          <cell r="G369">
            <v>1.2866627606723847E-2</v>
          </cell>
          <cell r="H369">
            <v>3.1949216350766994E-2</v>
          </cell>
        </row>
        <row r="370">
          <cell r="B370" t="str">
            <v>ESOL-PV</v>
          </cell>
          <cell r="C370" t="str">
            <v>VAR_fout</v>
          </cell>
          <cell r="D370" t="str">
            <v>ELC35</v>
          </cell>
          <cell r="E370"/>
          <cell r="F370"/>
          <cell r="G370">
            <v>0.14061592372971998</v>
          </cell>
          <cell r="H370">
            <v>0.23809249862226711</v>
          </cell>
        </row>
        <row r="371">
          <cell r="B371" t="str">
            <v>ESOL-PV</v>
          </cell>
          <cell r="C371" t="str">
            <v>VAR_fin</v>
          </cell>
          <cell r="D371" t="str">
            <v>SOL</v>
          </cell>
          <cell r="E371"/>
          <cell r="F371"/>
          <cell r="G371">
            <v>0.14061592372971998</v>
          </cell>
          <cell r="H371">
            <v>0.23809249862226711</v>
          </cell>
        </row>
        <row r="372">
          <cell r="B372" t="str">
            <v>ESOL-PV</v>
          </cell>
          <cell r="C372" t="str">
            <v>VAR_fin</v>
          </cell>
          <cell r="D372" t="str">
            <v>SOLPVC</v>
          </cell>
          <cell r="E372"/>
          <cell r="F372"/>
          <cell r="G372">
            <v>0.14061592372972001</v>
          </cell>
          <cell r="H372">
            <v>0.238092498622267</v>
          </cell>
        </row>
        <row r="373">
          <cell r="B373" t="str">
            <v>ESOL-PV</v>
          </cell>
          <cell r="C373" t="str">
            <v>VAR_ncap</v>
          </cell>
          <cell r="D373" t="str">
            <v>-</v>
          </cell>
          <cell r="E373"/>
          <cell r="F373"/>
          <cell r="G373">
            <v>4.4864911900832499E-2</v>
          </cell>
          <cell r="H373">
            <v>2.3775703456587E-2</v>
          </cell>
        </row>
        <row r="374">
          <cell r="B374" t="str">
            <v>ESOL-PV</v>
          </cell>
          <cell r="C374" t="str">
            <v>VAR_cap</v>
          </cell>
          <cell r="D374" t="str">
            <v>-</v>
          </cell>
          <cell r="E374"/>
          <cell r="F374"/>
          <cell r="G374">
            <v>4.4864911900832499E-2</v>
          </cell>
          <cell r="H374">
            <v>6.8640615357419499E-2</v>
          </cell>
        </row>
        <row r="375">
          <cell r="B375" t="str">
            <v>RHEM-SHSTG-CHPNGA</v>
          </cell>
          <cell r="C375" t="str">
            <v>VAR_fout</v>
          </cell>
          <cell r="D375" t="str">
            <v>RHEM_LTH_CHPNGA</v>
          </cell>
          <cell r="E375">
            <v>0.12652775082626028</v>
          </cell>
          <cell r="F375">
            <v>2.9111568499291191E-3</v>
          </cell>
          <cell r="G375">
            <v>3.9529643348315026E-2</v>
          </cell>
          <cell r="H375">
            <v>2.0738127455407363E-3</v>
          </cell>
        </row>
        <row r="376">
          <cell r="B376" t="str">
            <v>RHEM-SHSTG-CHPNGA</v>
          </cell>
          <cell r="C376" t="str">
            <v>VAR_fout</v>
          </cell>
          <cell r="D376" t="str">
            <v>AUX_REM-CHPNGA_OUT</v>
          </cell>
          <cell r="E376">
            <v>0.12652775082626053</v>
          </cell>
          <cell r="F376">
            <v>2.9092173716813354E-3</v>
          </cell>
          <cell r="G376">
            <v>3.9488509484268963E-2</v>
          </cell>
          <cell r="H376">
            <v>2.0738127455407363E-3</v>
          </cell>
        </row>
        <row r="377">
          <cell r="B377" t="str">
            <v>RHEM-SHSTG-CHPNGA</v>
          </cell>
          <cell r="C377" t="str">
            <v>VAR_fin</v>
          </cell>
          <cell r="D377" t="str">
            <v>AUX_REM-CHPNGA_IN</v>
          </cell>
          <cell r="E377">
            <v>0.16886659588298764</v>
          </cell>
          <cell r="F377">
            <v>3.8675647811319317E-3</v>
          </cell>
          <cell r="G377">
            <v>5.1058361168600727E-2</v>
          </cell>
          <cell r="H377">
            <v>1.6226759256274836E-3</v>
          </cell>
        </row>
        <row r="378">
          <cell r="B378" t="str">
            <v>RHEM-SHSTG-CHPNGA</v>
          </cell>
          <cell r="C378" t="str">
            <v>VAR_fin</v>
          </cell>
          <cell r="D378" t="str">
            <v>RHEM_LTH_CHPNGA</v>
          </cell>
          <cell r="E378">
            <v>0.16886659588298764</v>
          </cell>
          <cell r="F378">
            <v>3.8675647811319317E-3</v>
          </cell>
          <cell r="G378">
            <v>5.1058361168600727E-2</v>
          </cell>
          <cell r="H378">
            <v>1.6226759256274836E-3</v>
          </cell>
        </row>
        <row r="379">
          <cell r="B379" t="str">
            <v>RHEM-SHSTG-CHPNGA</v>
          </cell>
          <cell r="C379" t="str">
            <v>VAR_ncap</v>
          </cell>
          <cell r="D379" t="str">
            <v>-</v>
          </cell>
          <cell r="E379">
            <v>6.3957863596810396E-2</v>
          </cell>
          <cell r="F379">
            <v>1.5261410273712901E-3</v>
          </cell>
          <cell r="G379">
            <v>8.2676954518363303E-4</v>
          </cell>
          <cell r="H379">
            <v>4.6823914326539099E-4</v>
          </cell>
        </row>
        <row r="380">
          <cell r="B380" t="str">
            <v>RHEM-SHSTG-CHPNGA</v>
          </cell>
          <cell r="C380" t="str">
            <v>VAR_cap</v>
          </cell>
          <cell r="D380" t="str">
            <v>-</v>
          </cell>
          <cell r="E380">
            <v>6.3957863596810396E-2</v>
          </cell>
          <cell r="F380">
            <v>6.5364323090651724E-2</v>
          </cell>
          <cell r="G380">
            <v>6.5764127514762336E-2</v>
          </cell>
          <cell r="H380">
            <v>6.2779681015615332E-2</v>
          </cell>
        </row>
        <row r="381">
          <cell r="B381" t="str">
            <v>RHNS-ESOLPV</v>
          </cell>
          <cell r="C381" t="str">
            <v>VAR_fout</v>
          </cell>
          <cell r="D381" t="str">
            <v>RHNS_SOL_ELC</v>
          </cell>
          <cell r="E381"/>
          <cell r="F381">
            <v>8.1350450122781083E-4</v>
          </cell>
          <cell r="G381">
            <v>0.62075657762579195</v>
          </cell>
          <cell r="H381">
            <v>6.8335370280027172</v>
          </cell>
        </row>
        <row r="382">
          <cell r="B382" t="str">
            <v>RHNS-ESOLPV</v>
          </cell>
          <cell r="C382" t="str">
            <v>VAR_fin</v>
          </cell>
          <cell r="D382" t="str">
            <v>SOL</v>
          </cell>
          <cell r="E382"/>
          <cell r="F382">
            <v>8.1350450122781083E-4</v>
          </cell>
          <cell r="G382">
            <v>0.62075657762579195</v>
          </cell>
          <cell r="H382">
            <v>6.8335370280027172</v>
          </cell>
        </row>
        <row r="383">
          <cell r="B383" t="str">
            <v>RHNS-ESOLPV</v>
          </cell>
          <cell r="C383" t="str">
            <v>VAR_fin</v>
          </cell>
          <cell r="D383" t="str">
            <v>SOLPVC</v>
          </cell>
          <cell r="E383"/>
          <cell r="F383">
            <v>8.1350450122780996E-4</v>
          </cell>
          <cell r="G383">
            <v>0.62075657762579195</v>
          </cell>
          <cell r="H383">
            <v>6.8335370280027199</v>
          </cell>
        </row>
        <row r="384">
          <cell r="B384" t="str">
            <v>RHNS-ESOLPV</v>
          </cell>
          <cell r="C384" t="str">
            <v>VAR_ncap</v>
          </cell>
          <cell r="D384" t="str">
            <v>-</v>
          </cell>
          <cell r="E384"/>
          <cell r="F384">
            <v>2.7732900317598502E-4</v>
          </cell>
          <cell r="G384">
            <v>0.19778559602894899</v>
          </cell>
          <cell r="H384">
            <v>1.77185359766256</v>
          </cell>
        </row>
        <row r="385">
          <cell r="B385" t="str">
            <v>RHNS-ESOLPV</v>
          </cell>
          <cell r="C385" t="str">
            <v>VAR_cap</v>
          </cell>
          <cell r="D385" t="str">
            <v>-</v>
          </cell>
          <cell r="E385"/>
          <cell r="F385">
            <v>2.7732900317598502E-4</v>
          </cell>
          <cell r="G385">
            <v>0.198062925032125</v>
          </cell>
          <cell r="H385">
            <v>1.96991652269469</v>
          </cell>
        </row>
        <row r="386">
          <cell r="B386" t="str">
            <v>RHSA-WHSTG-CHP</v>
          </cell>
          <cell r="C386" t="str">
            <v>VAR_fout</v>
          </cell>
          <cell r="D386" t="str">
            <v>AUX_RHSA-CHP_OUT</v>
          </cell>
          <cell r="E386">
            <v>1.0561550153448553</v>
          </cell>
          <cell r="F386">
            <v>1.127467152059968E-2</v>
          </cell>
          <cell r="G386">
            <v>0.14014178290772733</v>
          </cell>
          <cell r="H386">
            <v>2.3172055079226133E-2</v>
          </cell>
        </row>
        <row r="387">
          <cell r="B387" t="str">
            <v>RHSA-WHSTG-CHP</v>
          </cell>
          <cell r="C387" t="str">
            <v>VAR_fout</v>
          </cell>
          <cell r="D387" t="str">
            <v>RHSA_LTH</v>
          </cell>
          <cell r="E387">
            <v>1.0561550153448531</v>
          </cell>
          <cell r="F387">
            <v>1.1282187968280059E-2</v>
          </cell>
          <cell r="G387">
            <v>0.14028776393158934</v>
          </cell>
          <cell r="H387">
            <v>2.3172055079226133E-2</v>
          </cell>
        </row>
        <row r="388">
          <cell r="B388" t="str">
            <v>RHSA-WHSTG-CHP</v>
          </cell>
          <cell r="C388" t="str">
            <v>VAR_fin</v>
          </cell>
          <cell r="D388" t="str">
            <v>RHSA_LTH</v>
          </cell>
          <cell r="E388">
            <v>1.4080670344567208</v>
          </cell>
          <cell r="F388">
            <v>1.4594045778002707E-2</v>
          </cell>
          <cell r="G388">
            <v>0.18106883934042708</v>
          </cell>
          <cell r="H388">
            <v>2.9029419622968119E-2</v>
          </cell>
        </row>
        <row r="389">
          <cell r="B389" t="str">
            <v>RHSA-WHSTG-CHP</v>
          </cell>
          <cell r="C389" t="str">
            <v>VAR_fin</v>
          </cell>
          <cell r="D389" t="str">
            <v>AUX_RHSA-CHP_IN</v>
          </cell>
          <cell r="E389">
            <v>1.4080670344567208</v>
          </cell>
          <cell r="F389">
            <v>1.4594045778002707E-2</v>
          </cell>
          <cell r="G389">
            <v>0.18106883934042708</v>
          </cell>
          <cell r="H389">
            <v>2.9029419622968119E-2</v>
          </cell>
        </row>
        <row r="390">
          <cell r="B390" t="str">
            <v>RHSA-WHSTG-CHP</v>
          </cell>
          <cell r="C390" t="str">
            <v>VAR_ncap</v>
          </cell>
          <cell r="D390" t="str">
            <v>-</v>
          </cell>
          <cell r="E390">
            <v>9.0311371527360004E-2</v>
          </cell>
          <cell r="F390">
            <v>6.6229726707255597E-4</v>
          </cell>
          <cell r="G390">
            <v>6.9364995719086505E-4</v>
          </cell>
          <cell r="H390">
            <v>5.0496705811243798E-4</v>
          </cell>
        </row>
        <row r="391">
          <cell r="B391" t="str">
            <v>RHSA-WHSTG-CHP</v>
          </cell>
          <cell r="C391" t="str">
            <v>VAR_cap</v>
          </cell>
          <cell r="D391" t="str">
            <v>-</v>
          </cell>
          <cell r="E391">
            <v>9.0967199381981348E-2</v>
          </cell>
          <cell r="F391">
            <v>9.1231409757943499E-2</v>
          </cell>
          <cell r="G391">
            <v>9.1001686465789197E-2</v>
          </cell>
          <cell r="H391">
            <v>8.3189091875644397E-2</v>
          </cell>
        </row>
        <row r="392">
          <cell r="B392" t="str">
            <v>G-INTC-SER</v>
          </cell>
          <cell r="C392" t="str">
            <v>VAR_fout</v>
          </cell>
          <cell r="D392" t="str">
            <v>ELC35</v>
          </cell>
          <cell r="E392">
            <v>7.3894809929289748E-2</v>
          </cell>
          <cell r="F392">
            <v>2.3736543045713314E-2</v>
          </cell>
          <cell r="G392">
            <v>2.743243754876671E-2</v>
          </cell>
          <cell r="H392">
            <v>1.8654741948713215E-2</v>
          </cell>
        </row>
        <row r="393">
          <cell r="B393" t="str">
            <v>G-INTC-SER</v>
          </cell>
          <cell r="C393" t="str">
            <v>VAR_fout</v>
          </cell>
          <cell r="D393" t="str">
            <v>SCOM_ELC</v>
          </cell>
          <cell r="E393">
            <v>57.709176493181189</v>
          </cell>
          <cell r="F393">
            <v>56.909587543598427</v>
          </cell>
          <cell r="G393">
            <v>50.840384641491987</v>
          </cell>
          <cell r="H393">
            <v>41.531000547426551</v>
          </cell>
        </row>
        <row r="394">
          <cell r="B394" t="str">
            <v>G-INTC-SER</v>
          </cell>
          <cell r="C394" t="str">
            <v>VAR_fin</v>
          </cell>
          <cell r="D394" t="str">
            <v>ELC5</v>
          </cell>
          <cell r="E394">
            <v>57.782977776089808</v>
          </cell>
          <cell r="F394">
            <v>56.933324086644149</v>
          </cell>
          <cell r="G394">
            <v>50.867817079040748</v>
          </cell>
          <cell r="H394">
            <v>41.549525457009942</v>
          </cell>
        </row>
        <row r="395">
          <cell r="B395" t="str">
            <v>G-INTC-SER</v>
          </cell>
          <cell r="C395" t="str">
            <v>VAR_ncap</v>
          </cell>
          <cell r="D395" t="str">
            <v>-</v>
          </cell>
          <cell r="E395">
            <v>2.7809683374703501E-6</v>
          </cell>
          <cell r="F395">
            <v>3.5643725460207801E-6</v>
          </cell>
          <cell r="G395">
            <v>3.8051445373120502E-6</v>
          </cell>
          <cell r="H395">
            <v>5.0526969267354999E-6</v>
          </cell>
        </row>
        <row r="396">
          <cell r="B396" t="str">
            <v>G-INTC-SER</v>
          </cell>
          <cell r="C396" t="str">
            <v>VAR_cap</v>
          </cell>
          <cell r="D396" t="str">
            <v>-</v>
          </cell>
          <cell r="E396">
            <v>4.3683888589490198</v>
          </cell>
          <cell r="F396">
            <v>4.3683897631451813</v>
          </cell>
          <cell r="G396">
            <v>4.3683952042899037</v>
          </cell>
          <cell r="H396">
            <v>4.3684017893744347</v>
          </cell>
        </row>
        <row r="397">
          <cell r="B397" t="str">
            <v>CHPWOD</v>
          </cell>
          <cell r="C397" t="str">
            <v>VAR_fout</v>
          </cell>
          <cell r="D397" t="str">
            <v>ELC35</v>
          </cell>
          <cell r="E397">
            <v>3.5079983935050367E-3</v>
          </cell>
          <cell r="F397">
            <v>6.8108258539394759E-3</v>
          </cell>
          <cell r="G397">
            <v>8.6760319546774801E-3</v>
          </cell>
          <cell r="H397">
            <v>5.5797107946290385E-2</v>
          </cell>
        </row>
        <row r="398">
          <cell r="B398" t="str">
            <v>CHPWOD</v>
          </cell>
          <cell r="C398" t="str">
            <v>VAR_fout</v>
          </cell>
          <cell r="D398" t="str">
            <v>LTH</v>
          </cell>
          <cell r="E398">
            <v>9.1740638507770561E-3</v>
          </cell>
          <cell r="F398">
            <v>1.7811567809224011E-2</v>
          </cell>
          <cell r="G398">
            <v>2.268942633239519E-2</v>
          </cell>
          <cell r="H398">
            <v>0.14591974498497803</v>
          </cell>
        </row>
        <row r="399">
          <cell r="B399" t="str">
            <v>CHPWOD</v>
          </cell>
          <cell r="C399" t="str">
            <v>VAR_fin</v>
          </cell>
          <cell r="D399" t="str">
            <v>EWOD</v>
          </cell>
          <cell r="E399">
            <v>1.4503910075075148E-2</v>
          </cell>
          <cell r="F399">
            <v>3.3081899380229367E-2</v>
          </cell>
          <cell r="G399">
            <v>4.4179269800994389E-2</v>
          </cell>
          <cell r="H399">
            <v>0.21209323772649974</v>
          </cell>
        </row>
        <row r="400">
          <cell r="B400" t="str">
            <v>CHPWOD</v>
          </cell>
          <cell r="C400" t="str">
            <v>VAR_ncap</v>
          </cell>
          <cell r="D400" t="str">
            <v>-</v>
          </cell>
          <cell r="E400"/>
          <cell r="F400">
            <v>6.7366484568596205E-4</v>
          </cell>
          <cell r="G400">
            <v>3.2804993034795098E-4</v>
          </cell>
          <cell r="H400">
            <v>2.33579354156465E-3</v>
          </cell>
        </row>
        <row r="401">
          <cell r="B401" t="str">
            <v>CHPWOD</v>
          </cell>
          <cell r="C401" t="str">
            <v>VAR_cap</v>
          </cell>
          <cell r="D401" t="str">
            <v>-</v>
          </cell>
          <cell r="E401">
            <v>6.3088220311879883E-4</v>
          </cell>
          <cell r="F401">
            <v>1.2370814708184685E-3</v>
          </cell>
          <cell r="G401">
            <v>1.5587230261404142E-3</v>
          </cell>
          <cell r="H401">
            <v>3.8329771409397612E-3</v>
          </cell>
        </row>
        <row r="402">
          <cell r="B402" t="str">
            <v>D-EH2R</v>
          </cell>
          <cell r="C402" t="str">
            <v>VAR_fout</v>
          </cell>
          <cell r="D402" t="str">
            <v>EH2</v>
          </cell>
          <cell r="E402"/>
          <cell r="F402"/>
          <cell r="G402"/>
          <cell r="H402"/>
        </row>
        <row r="403">
          <cell r="B403" t="str">
            <v>D-EH2R</v>
          </cell>
          <cell r="C403" t="str">
            <v>VAR_fin</v>
          </cell>
          <cell r="D403" t="str">
            <v>H2</v>
          </cell>
          <cell r="E403"/>
          <cell r="F403"/>
          <cell r="G403"/>
          <cell r="H403"/>
        </row>
        <row r="404">
          <cell r="B404" t="str">
            <v>D-EH2R</v>
          </cell>
          <cell r="C404" t="str">
            <v>VAR_ncap</v>
          </cell>
          <cell r="D404" t="str">
            <v>-</v>
          </cell>
          <cell r="E404"/>
          <cell r="F404"/>
          <cell r="G404"/>
          <cell r="H404"/>
        </row>
        <row r="405">
          <cell r="B405" t="str">
            <v>D-EH2R</v>
          </cell>
          <cell r="C405" t="str">
            <v>VAR_cap</v>
          </cell>
          <cell r="D405" t="str">
            <v>-</v>
          </cell>
          <cell r="E405"/>
          <cell r="F405"/>
          <cell r="G405"/>
          <cell r="H405"/>
        </row>
        <row r="406">
          <cell r="B406" t="str">
            <v>G-INTC1</v>
          </cell>
          <cell r="C406" t="str">
            <v>VAR_fout</v>
          </cell>
          <cell r="D406" t="str">
            <v>ELC13</v>
          </cell>
          <cell r="E406">
            <v>125.44520487688679</v>
          </cell>
          <cell r="F406">
            <v>140.3547347852936</v>
          </cell>
          <cell r="G406">
            <v>120.16449265238711</v>
          </cell>
          <cell r="H406">
            <v>125.29278317884307</v>
          </cell>
        </row>
        <row r="407">
          <cell r="B407" t="str">
            <v>G-INTC1</v>
          </cell>
          <cell r="C407" t="str">
            <v>VAR_fin</v>
          </cell>
          <cell r="D407" t="str">
            <v>ELC</v>
          </cell>
          <cell r="E407">
            <v>126.76627301808452</v>
          </cell>
          <cell r="F407">
            <v>143.99270633828942</v>
          </cell>
          <cell r="G407">
            <v>123.0115261809606</v>
          </cell>
          <cell r="H407">
            <v>127.79895070369028</v>
          </cell>
        </row>
        <row r="408">
          <cell r="B408" t="str">
            <v>G-INTC1</v>
          </cell>
          <cell r="C408" t="str">
            <v>VAR_ncap</v>
          </cell>
          <cell r="D408" t="str">
            <v>-</v>
          </cell>
          <cell r="E408">
            <v>3.23823306265013E-6</v>
          </cell>
          <cell r="F408">
            <v>3.1594913484714801E-6</v>
          </cell>
          <cell r="G408">
            <v>3.8788899871928699E-6</v>
          </cell>
          <cell r="H408">
            <v>5.5107860571022999E-6</v>
          </cell>
        </row>
        <row r="409">
          <cell r="B409" t="str">
            <v>G-INTC1</v>
          </cell>
          <cell r="C409" t="str">
            <v>VAR_cap</v>
          </cell>
          <cell r="D409" t="str">
            <v>-</v>
          </cell>
          <cell r="E409">
            <v>15.305609183965201</v>
          </cell>
          <cell r="F409">
            <v>15.305609183965201</v>
          </cell>
          <cell r="G409">
            <v>15.305609183965201</v>
          </cell>
          <cell r="H409">
            <v>15.305612253119003</v>
          </cell>
        </row>
        <row r="410">
          <cell r="B410" t="str">
            <v>EHYD-RUNS00</v>
          </cell>
          <cell r="C410" t="str">
            <v>VAR_fout</v>
          </cell>
          <cell r="D410" t="str">
            <v>ELC35</v>
          </cell>
          <cell r="E410">
            <v>12.240003337819086</v>
          </cell>
          <cell r="F410">
            <v>12.206073307031321</v>
          </cell>
          <cell r="G410">
            <v>12.148221363443831</v>
          </cell>
          <cell r="H410">
            <v>12.158310744388105</v>
          </cell>
        </row>
        <row r="411">
          <cell r="B411" t="str">
            <v>EHYD-RUNS00</v>
          </cell>
          <cell r="C411" t="str">
            <v>VAR_fin</v>
          </cell>
          <cell r="D411" t="str">
            <v>HYDR</v>
          </cell>
          <cell r="E411">
            <v>12.240003337819086</v>
          </cell>
          <cell r="F411">
            <v>12.206073307031321</v>
          </cell>
          <cell r="G411">
            <v>12.148221363443831</v>
          </cell>
          <cell r="H411">
            <v>12.158310744388105</v>
          </cell>
        </row>
        <row r="412">
          <cell r="B412" t="str">
            <v>EHYD-RUNS00</v>
          </cell>
          <cell r="C412" t="str">
            <v>VAR_cap</v>
          </cell>
          <cell r="D412" t="str">
            <v>-</v>
          </cell>
          <cell r="E412">
            <v>0.85785999999999896</v>
          </cell>
          <cell r="F412">
            <v>0.88297936593724102</v>
          </cell>
          <cell r="G412">
            <v>0.89707999999999899</v>
          </cell>
          <cell r="H412">
            <v>0.89707999999999899</v>
          </cell>
        </row>
        <row r="413">
          <cell r="B413" t="str">
            <v>RHNS-SHSTG-CHPWOD</v>
          </cell>
          <cell r="C413" t="str">
            <v>VAR_fout</v>
          </cell>
          <cell r="D413" t="str">
            <v>AUX_RNS-CHPWOD_OUT</v>
          </cell>
          <cell r="E413">
            <v>3.9052745678225375E-3</v>
          </cell>
          <cell r="F413">
            <v>2.1303750726874597E-3</v>
          </cell>
          <cell r="G413">
            <v>1.1656153025775258E-3</v>
          </cell>
          <cell r="H413">
            <v>2.0736708439514804E-3</v>
          </cell>
        </row>
        <row r="414">
          <cell r="B414" t="str">
            <v>RHNS-SHSTG-CHPWOD</v>
          </cell>
          <cell r="C414" t="str">
            <v>VAR_fout</v>
          </cell>
          <cell r="D414" t="str">
            <v>RHNS_LTH_CHPWOD</v>
          </cell>
          <cell r="E414">
            <v>3.9052745678225275E-3</v>
          </cell>
          <cell r="F414">
            <v>2.1317953227359115E-3</v>
          </cell>
          <cell r="G414">
            <v>1.1668294851843778E-3</v>
          </cell>
          <cell r="H414">
            <v>2.0736708439514804E-3</v>
          </cell>
        </row>
        <row r="415">
          <cell r="B415" t="str">
            <v>RHNS-SHSTG-CHPWOD</v>
          </cell>
          <cell r="C415" t="str">
            <v>VAR_fin</v>
          </cell>
          <cell r="D415" t="str">
            <v>AUX_RNS-CHPWOD_IN</v>
          </cell>
          <cell r="E415">
            <v>2.9725900404390633E-3</v>
          </cell>
          <cell r="F415">
            <v>1.5682752810215553E-3</v>
          </cell>
          <cell r="G415">
            <v>9.2529580256919884E-4</v>
          </cell>
          <cell r="H415">
            <v>1.6225510583802003E-3</v>
          </cell>
        </row>
        <row r="416">
          <cell r="B416" t="str">
            <v>RHNS-SHSTG-CHPWOD</v>
          </cell>
          <cell r="C416" t="str">
            <v>VAR_fin</v>
          </cell>
          <cell r="D416" t="str">
            <v>RHNS_LTH_CHPWOD</v>
          </cell>
          <cell r="E416">
            <v>2.9725900404390633E-3</v>
          </cell>
          <cell r="F416">
            <v>1.5682752810215553E-3</v>
          </cell>
          <cell r="G416">
            <v>9.2529580256919884E-4</v>
          </cell>
          <cell r="H416">
            <v>1.6225510583802003E-3</v>
          </cell>
        </row>
        <row r="417">
          <cell r="B417" t="str">
            <v>RHNS-SHSTG-CHPWOD</v>
          </cell>
          <cell r="C417" t="str">
            <v>VAR_ncap</v>
          </cell>
          <cell r="D417" t="str">
            <v>-</v>
          </cell>
          <cell r="E417">
            <v>2.43886534949538E-2</v>
          </cell>
          <cell r="F417">
            <v>6.0621435099557895E-4</v>
          </cell>
          <cell r="G417">
            <v>6.0527245585379602E-4</v>
          </cell>
          <cell r="H417">
            <v>3.9373889784413701E-4</v>
          </cell>
        </row>
        <row r="418">
          <cell r="B418" t="str">
            <v>RHNS-SHSTG-CHPWOD</v>
          </cell>
          <cell r="C418" t="str">
            <v>VAR_cap</v>
          </cell>
          <cell r="D418" t="str">
            <v>-</v>
          </cell>
          <cell r="E418">
            <v>2.43886534949538E-2</v>
          </cell>
          <cell r="F418">
            <v>2.4913565274836937E-2</v>
          </cell>
          <cell r="G418">
            <v>2.5257061607116004E-2</v>
          </cell>
          <cell r="H418">
            <v>2.5056350094158932E-2</v>
          </cell>
        </row>
        <row r="419">
          <cell r="B419" t="str">
            <v>HPLOIL</v>
          </cell>
          <cell r="C419" t="str">
            <v>VAR_fout</v>
          </cell>
          <cell r="D419" t="str">
            <v>LTH</v>
          </cell>
          <cell r="E419">
            <v>0.18434257993190098</v>
          </cell>
          <cell r="F419">
            <v>0.18378174247741455</v>
          </cell>
          <cell r="G419">
            <v>7.1846489861079567E-3</v>
          </cell>
          <cell r="H419">
            <v>8.9284904955794931E-3</v>
          </cell>
        </row>
        <row r="420">
          <cell r="B420" t="str">
            <v>HPLOIL</v>
          </cell>
          <cell r="C420" t="str">
            <v>VAR_fout</v>
          </cell>
          <cell r="D420" t="str">
            <v>CO2_E</v>
          </cell>
          <cell r="E420">
            <v>15.9002498251029</v>
          </cell>
          <cell r="F420">
            <v>15.8518754579821</v>
          </cell>
          <cell r="G420">
            <v>0.61970334703457797</v>
          </cell>
          <cell r="H420">
            <v>0.77011632089132298</v>
          </cell>
        </row>
        <row r="421">
          <cell r="B421" t="str">
            <v>HPLOIL</v>
          </cell>
          <cell r="C421" t="str">
            <v>VAR_fin</v>
          </cell>
          <cell r="D421" t="str">
            <v>ELFO</v>
          </cell>
          <cell r="E421">
            <v>0.21574287415336313</v>
          </cell>
          <cell r="F421">
            <v>0.2150865055357141</v>
          </cell>
          <cell r="G421">
            <v>8.4084578973484207E-3</v>
          </cell>
          <cell r="H421">
            <v>1.0449339496490144E-2</v>
          </cell>
        </row>
        <row r="422">
          <cell r="B422" t="str">
            <v>HPLOIL</v>
          </cell>
          <cell r="C422" t="str">
            <v>VAR_ncap</v>
          </cell>
          <cell r="D422" t="str">
            <v>-</v>
          </cell>
          <cell r="E422">
            <v>1.1150005054051399E-3</v>
          </cell>
          <cell r="F422">
            <v>4.4468914188027701E-4</v>
          </cell>
          <cell r="G422">
            <v>2.6384825446306901E-4</v>
          </cell>
          <cell r="H422">
            <v>4.1108453825696801E-4</v>
          </cell>
        </row>
        <row r="423">
          <cell r="B423" t="str">
            <v>HPLOIL</v>
          </cell>
          <cell r="C423" t="str">
            <v>VAR_cap</v>
          </cell>
          <cell r="D423" t="str">
            <v>-</v>
          </cell>
          <cell r="E423">
            <v>4.0478888804078704E-2</v>
          </cell>
          <cell r="F423">
            <v>3.8748935727254602E-2</v>
          </cell>
          <cell r="G423">
            <v>3.632708147144878E-2</v>
          </cell>
          <cell r="H423">
            <v>1.6885119942226821E-2</v>
          </cell>
        </row>
        <row r="424">
          <cell r="B424" t="str">
            <v>V2G</v>
          </cell>
          <cell r="C424" t="str">
            <v>VAR_fout</v>
          </cell>
          <cell r="D424" t="str">
            <v>ELC35</v>
          </cell>
          <cell r="E424"/>
          <cell r="F424"/>
          <cell r="G424"/>
          <cell r="H424">
            <v>0.33398412994859022</v>
          </cell>
        </row>
        <row r="425">
          <cell r="B425" t="str">
            <v>V2G</v>
          </cell>
          <cell r="C425" t="str">
            <v>VAR_fin</v>
          </cell>
          <cell r="D425" t="str">
            <v>T-ELC-Bus_c_BatSTGout_S1</v>
          </cell>
          <cell r="E425"/>
          <cell r="F425"/>
          <cell r="G425"/>
          <cell r="H425">
            <v>5.3602866127695718E-3</v>
          </cell>
        </row>
        <row r="426">
          <cell r="B426" t="str">
            <v>V2G</v>
          </cell>
          <cell r="C426" t="str">
            <v>VAR_fin</v>
          </cell>
          <cell r="D426" t="str">
            <v>T-ELC-Bus_c_BatSTGout_S2</v>
          </cell>
          <cell r="E426"/>
          <cell r="F426"/>
          <cell r="G426"/>
          <cell r="H426">
            <v>5.8897202003707454E-3</v>
          </cell>
        </row>
        <row r="427">
          <cell r="B427" t="str">
            <v>V2G</v>
          </cell>
          <cell r="C427" t="str">
            <v>VAR_fin</v>
          </cell>
          <cell r="D427" t="str">
            <v>T-ELC-Bus_c_BatSTGout_S3</v>
          </cell>
          <cell r="E427"/>
          <cell r="F427"/>
          <cell r="G427"/>
          <cell r="H427">
            <v>3.9071031133796731E-3</v>
          </cell>
        </row>
        <row r="428">
          <cell r="B428" t="str">
            <v>V2G</v>
          </cell>
          <cell r="C428" t="str">
            <v>VAR_fin</v>
          </cell>
          <cell r="D428" t="str">
            <v>T-ELC-Bus_c_BatSTGout_S4</v>
          </cell>
          <cell r="E428"/>
          <cell r="F428"/>
          <cell r="G428"/>
          <cell r="H428">
            <v>3.1386465613616056E-4</v>
          </cell>
        </row>
        <row r="429">
          <cell r="B429" t="str">
            <v>V2G</v>
          </cell>
          <cell r="C429" t="str">
            <v>VAR_fin</v>
          </cell>
          <cell r="D429" t="str">
            <v>T-ELC-car-BatSTGOut_S1</v>
          </cell>
          <cell r="E429"/>
          <cell r="F429"/>
          <cell r="H429">
            <v>2.9630255323443901E-2</v>
          </cell>
        </row>
        <row r="430">
          <cell r="B430" t="str">
            <v>V2G</v>
          </cell>
          <cell r="C430" t="str">
            <v>VAR_fin</v>
          </cell>
          <cell r="D430" t="str">
            <v>T-ELC-car-BatSTGOut_S2</v>
          </cell>
          <cell r="E430"/>
          <cell r="F430"/>
          <cell r="H430">
            <v>1.553689952724714E-2</v>
          </cell>
        </row>
        <row r="431">
          <cell r="B431" t="str">
            <v>V2G</v>
          </cell>
          <cell r="C431" t="str">
            <v>VAR_fin</v>
          </cell>
          <cell r="D431" t="str">
            <v>T-ELC-car-BatSTGOut_S3</v>
          </cell>
          <cell r="E431"/>
          <cell r="F431"/>
          <cell r="H431">
            <v>1.8345551839801195E-2</v>
          </cell>
        </row>
        <row r="432">
          <cell r="B432" t="str">
            <v>V2G</v>
          </cell>
          <cell r="C432" t="str">
            <v>VAR_fin</v>
          </cell>
          <cell r="D432" t="str">
            <v>T-ELC-car-BatSTGOut_S4</v>
          </cell>
          <cell r="E432"/>
          <cell r="F432"/>
          <cell r="H432">
            <v>1.3580642891104257E-2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T-ELC-car-PlgSTGOut_S1</v>
          </cell>
          <cell r="E433"/>
          <cell r="F433"/>
          <cell r="H433">
            <v>1.6656985557266919E-2</v>
          </cell>
        </row>
        <row r="434">
          <cell r="B434" t="str">
            <v>V2G</v>
          </cell>
          <cell r="C434" t="str">
            <v>VAR_fin</v>
          </cell>
          <cell r="D434" t="str">
            <v>T-ELC-car-PlgSTGOut_S2</v>
          </cell>
          <cell r="E434"/>
          <cell r="F434"/>
          <cell r="H434">
            <v>7.9802061584521855E-3</v>
          </cell>
        </row>
        <row r="435">
          <cell r="B435" t="str">
            <v>V2G</v>
          </cell>
          <cell r="C435" t="str">
            <v>VAR_fin</v>
          </cell>
          <cell r="D435" t="str">
            <v>T-ELC-car-PlgSTGOut_S3</v>
          </cell>
          <cell r="E435"/>
          <cell r="F435"/>
          <cell r="H435">
            <v>1.2393493091106373E-2</v>
          </cell>
        </row>
        <row r="436">
          <cell r="B436" t="str">
            <v>V2G</v>
          </cell>
          <cell r="C436" t="str">
            <v>VAR_fin</v>
          </cell>
          <cell r="D436" t="str">
            <v>T-ELC-TWSTGout_S1</v>
          </cell>
          <cell r="E436"/>
          <cell r="F436"/>
          <cell r="G436"/>
          <cell r="H436">
            <v>2.4366208336898877E-2</v>
          </cell>
        </row>
        <row r="437">
          <cell r="B437" t="str">
            <v>V2G</v>
          </cell>
          <cell r="C437" t="str">
            <v>VAR_fin</v>
          </cell>
          <cell r="D437" t="str">
            <v>T-ELC-car-PlgSTGOut_S4</v>
          </cell>
          <cell r="E437"/>
          <cell r="F437"/>
          <cell r="G437"/>
          <cell r="H437">
            <v>4.955939579320277E-3</v>
          </cell>
        </row>
        <row r="438">
          <cell r="B438" t="str">
            <v>V2G</v>
          </cell>
          <cell r="C438" t="str">
            <v>VAR_fin</v>
          </cell>
          <cell r="D438" t="str">
            <v>T-ELC-TWSTGout_S2</v>
          </cell>
          <cell r="E438"/>
          <cell r="F438"/>
          <cell r="G438"/>
          <cell r="H438">
            <v>3.8529338781174899E-2</v>
          </cell>
        </row>
        <row r="439">
          <cell r="B439" t="str">
            <v>V2G</v>
          </cell>
          <cell r="C439" t="str">
            <v>VAR_fin</v>
          </cell>
          <cell r="D439" t="str">
            <v>T-ELC-TWSTGout_S3</v>
          </cell>
          <cell r="E439"/>
          <cell r="F439"/>
          <cell r="G439"/>
          <cell r="H439">
            <v>4.4210748439268074E-2</v>
          </cell>
        </row>
        <row r="440">
          <cell r="B440" t="str">
            <v>V2G</v>
          </cell>
          <cell r="C440" t="str">
            <v>VAR_fin</v>
          </cell>
          <cell r="D440" t="str">
            <v>T-ELC-TWSTGout_S4</v>
          </cell>
          <cell r="E440"/>
          <cell r="F440"/>
          <cell r="G440"/>
          <cell r="H440">
            <v>4.4236925766140314E-2</v>
          </cell>
        </row>
        <row r="441">
          <cell r="B441" t="str">
            <v>V2G</v>
          </cell>
          <cell r="C441" t="str">
            <v>VAR_fin</v>
          </cell>
          <cell r="D441" t="str">
            <v>T-ELC-Bus_u_BatSTGout_S1</v>
          </cell>
          <cell r="E441"/>
          <cell r="F441"/>
          <cell r="G441"/>
          <cell r="H441">
            <v>5.554519345295536E-3</v>
          </cell>
        </row>
        <row r="442">
          <cell r="B442" t="str">
            <v>V2G</v>
          </cell>
          <cell r="C442" t="str">
            <v>VAR_fin</v>
          </cell>
          <cell r="D442" t="str">
            <v>T-ELC-Bus_u_BatSTGout_S2</v>
          </cell>
          <cell r="E442"/>
          <cell r="F442"/>
          <cell r="G442"/>
          <cell r="H442">
            <v>4.6917842242124265E-3</v>
          </cell>
        </row>
        <row r="443">
          <cell r="B443" t="str">
            <v>V2G</v>
          </cell>
          <cell r="C443" t="str">
            <v>VAR_fin</v>
          </cell>
          <cell r="D443" t="str">
            <v>T-ELC-Bus_u_BatSTGout_S3</v>
          </cell>
          <cell r="E443"/>
          <cell r="F443"/>
          <cell r="G443"/>
          <cell r="H443">
            <v>1.8898175329798838E-3</v>
          </cell>
        </row>
        <row r="444">
          <cell r="B444" t="str">
            <v>V2G</v>
          </cell>
          <cell r="C444" t="str">
            <v>VAR_fin</v>
          </cell>
          <cell r="D444" t="str">
            <v>T-ELC-Bus_u_BatSTGout_S4</v>
          </cell>
          <cell r="E444"/>
          <cell r="F444"/>
          <cell r="G444"/>
          <cell r="H444">
            <v>2.5668248014014887E-3</v>
          </cell>
        </row>
        <row r="445">
          <cell r="B445" t="str">
            <v>V2G</v>
          </cell>
          <cell r="C445" t="str">
            <v>VAR_fin</v>
          </cell>
          <cell r="D445" t="str">
            <v>T-ELC-LGV_BatSTGout</v>
          </cell>
          <cell r="E445"/>
          <cell r="F445"/>
          <cell r="G445"/>
          <cell r="H445">
            <v>1.5848750095060937E-2</v>
          </cell>
        </row>
        <row r="446">
          <cell r="B446" t="str">
            <v>V2G</v>
          </cell>
          <cell r="C446" t="str">
            <v>VAR_fin</v>
          </cell>
          <cell r="D446" t="str">
            <v>T-ELC-HGV_BatSTGout</v>
          </cell>
          <cell r="E446"/>
          <cell r="F446"/>
          <cell r="G446"/>
          <cell r="H446">
            <v>1.9643835486026356E-2</v>
          </cell>
        </row>
        <row r="447">
          <cell r="B447" t="str">
            <v>V2G</v>
          </cell>
          <cell r="C447" t="str">
            <v>VAR_ncap</v>
          </cell>
          <cell r="D447" t="str">
            <v>-</v>
          </cell>
          <cell r="H447">
            <v>0.104299787365392</v>
          </cell>
        </row>
        <row r="448">
          <cell r="B448" t="str">
            <v>V2G</v>
          </cell>
          <cell r="C448" t="str">
            <v>VAR_cap</v>
          </cell>
          <cell r="D448" t="str">
            <v>-</v>
          </cell>
          <cell r="H448">
            <v>0.104299787365392</v>
          </cell>
        </row>
        <row r="449">
          <cell r="B449" t="str">
            <v>D-EBIO</v>
          </cell>
          <cell r="C449" t="str">
            <v>VAR_fout</v>
          </cell>
          <cell r="D449" t="str">
            <v>EBIO</v>
          </cell>
          <cell r="E449">
            <v>1.1840860449880417</v>
          </cell>
          <cell r="F449">
            <v>1.1840191929471144</v>
          </cell>
          <cell r="G449">
            <v>1.1840291827246885</v>
          </cell>
          <cell r="H449">
            <v>1.1840199951870698</v>
          </cell>
        </row>
        <row r="450">
          <cell r="B450" t="str">
            <v>D-EBIO</v>
          </cell>
          <cell r="C450" t="str">
            <v>VAR_fin</v>
          </cell>
          <cell r="D450" t="str">
            <v>BIO</v>
          </cell>
          <cell r="E450">
            <v>1.1840860449880417</v>
          </cell>
          <cell r="F450">
            <v>1.1840191929471144</v>
          </cell>
          <cell r="G450">
            <v>1.1840291827246885</v>
          </cell>
          <cell r="H450">
            <v>1.1840199951870698</v>
          </cell>
        </row>
        <row r="451">
          <cell r="B451" t="str">
            <v>G-INTC3</v>
          </cell>
          <cell r="C451" t="str">
            <v>VAR_fout</v>
          </cell>
          <cell r="D451" t="str">
            <v>ELC35</v>
          </cell>
          <cell r="E451">
            <v>154.0680542102005</v>
          </cell>
          <cell r="F451">
            <v>106.74454188129475</v>
          </cell>
          <cell r="G451">
            <v>97.051307406224723</v>
          </cell>
          <cell r="H451">
            <v>121.50215420257061</v>
          </cell>
        </row>
        <row r="452">
          <cell r="B452" t="str">
            <v>G-INTC3</v>
          </cell>
          <cell r="C452" t="str">
            <v>VAR_fout</v>
          </cell>
          <cell r="D452" t="str">
            <v>ELC3</v>
          </cell>
          <cell r="E452">
            <v>35.744846334344388</v>
          </cell>
          <cell r="F452">
            <v>68.830937032408272</v>
          </cell>
          <cell r="G452">
            <v>69.147971347547454</v>
          </cell>
          <cell r="H452">
            <v>49.734625670912891</v>
          </cell>
        </row>
        <row r="453">
          <cell r="B453" t="str">
            <v>G-INTC3</v>
          </cell>
          <cell r="C453" t="str">
            <v>VAR_fout</v>
          </cell>
          <cell r="D453" t="str">
            <v>ELC</v>
          </cell>
          <cell r="E453">
            <v>0.48105636536437174</v>
          </cell>
          <cell r="F453">
            <v>5.2071408804863363E-2</v>
          </cell>
          <cell r="G453">
            <v>6.0150099689221068E-2</v>
          </cell>
          <cell r="H453">
            <v>9.2789527884374237E-2</v>
          </cell>
        </row>
        <row r="454">
          <cell r="B454" t="str">
            <v>G-INTC3</v>
          </cell>
          <cell r="C454" t="str">
            <v>VAR_fin</v>
          </cell>
          <cell r="D454" t="str">
            <v>ELC13</v>
          </cell>
          <cell r="E454">
            <v>194.28026472484586</v>
          </cell>
          <cell r="F454">
            <v>183.90430744661418</v>
          </cell>
          <cell r="G454">
            <v>173.5225856749166</v>
          </cell>
          <cell r="H454">
            <v>177.84039617761269</v>
          </cell>
        </row>
        <row r="455">
          <cell r="B455" t="str">
            <v>G-INTC3</v>
          </cell>
          <cell r="C455" t="str">
            <v>VAR_ncap</v>
          </cell>
          <cell r="D455" t="str">
            <v>-</v>
          </cell>
          <cell r="E455">
            <v>1.30913276475336E-5</v>
          </cell>
          <cell r="F455">
            <v>1.28281350038763E-5</v>
          </cell>
          <cell r="G455">
            <v>1.15879455289294E-5</v>
          </cell>
          <cell r="H455">
            <v>8.1837412369978804E-6</v>
          </cell>
        </row>
        <row r="456">
          <cell r="B456" t="str">
            <v>G-INTC3</v>
          </cell>
          <cell r="C456" t="str">
            <v>VAR_cap</v>
          </cell>
          <cell r="D456" t="str">
            <v>-</v>
          </cell>
          <cell r="E456">
            <v>13.914190167241101</v>
          </cell>
          <cell r="F456">
            <v>13.914190167241101</v>
          </cell>
          <cell r="G456">
            <v>13.914190167241101</v>
          </cell>
          <cell r="H456">
            <v>13.91420259749529</v>
          </cell>
        </row>
        <row r="457">
          <cell r="B457" t="str">
            <v>HPLBIO</v>
          </cell>
          <cell r="C457" t="str">
            <v>VAR_fout</v>
          </cell>
          <cell r="D457" t="str">
            <v>LTH</v>
          </cell>
          <cell r="E457">
            <v>0.90187791691648245</v>
          </cell>
          <cell r="F457">
            <v>0.90182699799917021</v>
          </cell>
          <cell r="G457">
            <v>0.90183460687170802</v>
          </cell>
          <cell r="H457">
            <v>0.90182760903795767</v>
          </cell>
        </row>
        <row r="458">
          <cell r="B458" t="str">
            <v>HPLBIO</v>
          </cell>
          <cell r="C458" t="str">
            <v>VAR_fin</v>
          </cell>
          <cell r="D458" t="str">
            <v>EBIO</v>
          </cell>
          <cell r="E458">
            <v>1.1840860449880417</v>
          </cell>
          <cell r="F458">
            <v>1.1840191929471144</v>
          </cell>
          <cell r="G458">
            <v>1.1840291827246885</v>
          </cell>
          <cell r="H458">
            <v>1.1840199951870698</v>
          </cell>
        </row>
        <row r="459">
          <cell r="B459" t="str">
            <v>HPLBIO</v>
          </cell>
          <cell r="C459" t="str">
            <v>VAR_ncap</v>
          </cell>
          <cell r="D459" t="str">
            <v>-</v>
          </cell>
          <cell r="E459">
            <v>1.5089989884693501E-3</v>
          </cell>
          <cell r="F459">
            <v>3.9204302327460502E-4</v>
          </cell>
          <cell r="G459">
            <v>2.2615877246638099E-4</v>
          </cell>
          <cell r="H459">
            <v>6.1483539196504497E-2</v>
          </cell>
        </row>
        <row r="460">
          <cell r="B460" t="str">
            <v>HPLBIO</v>
          </cell>
          <cell r="C460" t="str">
            <v>VAR_cap</v>
          </cell>
          <cell r="D460" t="str">
            <v>-</v>
          </cell>
          <cell r="E460">
            <v>0.11585053691373044</v>
          </cell>
          <cell r="F460">
            <v>0.11615473269838682</v>
          </cell>
          <cell r="G460">
            <v>0.11626105394686093</v>
          </cell>
          <cell r="H460">
            <v>0.11461881875541899</v>
          </cell>
        </row>
        <row r="461">
          <cell r="B461" t="str">
            <v>G-INTC5</v>
          </cell>
          <cell r="C461" t="str">
            <v>VAR_fout</v>
          </cell>
          <cell r="D461" t="str">
            <v>ELC5</v>
          </cell>
          <cell r="E461">
            <v>153.89792328346465</v>
          </cell>
          <cell r="F461">
            <v>120.59470784181894</v>
          </cell>
          <cell r="G461">
            <v>110.88105930998775</v>
          </cell>
          <cell r="H461">
            <v>131.11045331063224</v>
          </cell>
        </row>
        <row r="462">
          <cell r="B462" t="str">
            <v>G-INTC5</v>
          </cell>
          <cell r="C462" t="str">
            <v>VAR_fout</v>
          </cell>
          <cell r="D462" t="str">
            <v>ELC13</v>
          </cell>
          <cell r="E462">
            <v>14.426721831838719</v>
          </cell>
          <cell r="F462">
            <v>4.6439007007962926E-2</v>
          </cell>
          <cell r="G462">
            <v>5.0580548061576046E-2</v>
          </cell>
          <cell r="H462">
            <v>0.13915785599850045</v>
          </cell>
        </row>
        <row r="463">
          <cell r="B463" t="str">
            <v>G-INTC5</v>
          </cell>
          <cell r="C463" t="str">
            <v>VAR_fin</v>
          </cell>
          <cell r="D463" t="str">
            <v>ELC35</v>
          </cell>
          <cell r="E463">
            <v>173.64095687884006</v>
          </cell>
          <cell r="F463">
            <v>126.34662675030435</v>
          </cell>
          <cell r="G463">
            <v>115.92570766619637</v>
          </cell>
          <cell r="H463">
            <v>136.66399112143117</v>
          </cell>
        </row>
        <row r="464">
          <cell r="B464" t="str">
            <v>G-INTC5</v>
          </cell>
          <cell r="C464" t="str">
            <v>VAR_ncap</v>
          </cell>
          <cell r="D464" t="str">
            <v>-</v>
          </cell>
          <cell r="E464">
            <v>8.4832294474486005E-5</v>
          </cell>
          <cell r="F464">
            <v>7.8564853356731106E-5</v>
          </cell>
          <cell r="G464">
            <v>9.3596414338689501E-5</v>
          </cell>
          <cell r="H464">
            <v>2.04188827632772</v>
          </cell>
        </row>
        <row r="465">
          <cell r="B465" t="str">
            <v>G-INTC5</v>
          </cell>
          <cell r="C465" t="str">
            <v>VAR_cap</v>
          </cell>
          <cell r="D465" t="str">
            <v>-</v>
          </cell>
          <cell r="E465">
            <v>12.649263788401001</v>
          </cell>
          <cell r="F465">
            <v>12.649263788401001</v>
          </cell>
          <cell r="G465">
            <v>12.649263788401001</v>
          </cell>
          <cell r="H465">
            <v>12.649342477894383</v>
          </cell>
        </row>
        <row r="466">
          <cell r="B466" t="str">
            <v>D-SLFO</v>
          </cell>
          <cell r="C466" t="str">
            <v>VAR_fout</v>
          </cell>
          <cell r="D466" t="str">
            <v>CO2</v>
          </cell>
          <cell r="E466">
            <v>2267.7920244305801</v>
          </cell>
          <cell r="F466">
            <v>1933.6967713973099</v>
          </cell>
          <cell r="G466">
            <v>1957.23968949714</v>
          </cell>
          <cell r="H466">
            <v>1160.40081782383</v>
          </cell>
        </row>
        <row r="467">
          <cell r="B467" t="str">
            <v>D-SLFO</v>
          </cell>
          <cell r="C467" t="str">
            <v>VAR_fout</v>
          </cell>
          <cell r="D467" t="str">
            <v>SLFO</v>
          </cell>
          <cell r="E467">
            <v>30.256679168903222</v>
          </cell>
          <cell r="F467">
            <v>25.799210065042509</v>
          </cell>
          <cell r="G467">
            <v>26.114252197428314</v>
          </cell>
          <cell r="H467">
            <v>15.489299762393747</v>
          </cell>
        </row>
        <row r="468">
          <cell r="B468" t="str">
            <v>D-SLFO</v>
          </cell>
          <cell r="C468" t="str">
            <v>VAR_fin</v>
          </cell>
          <cell r="D468" t="str">
            <v>LFO</v>
          </cell>
          <cell r="E468">
            <v>30.770583777891158</v>
          </cell>
          <cell r="F468">
            <v>26.237405310682689</v>
          </cell>
          <cell r="G468">
            <v>26.556847890056115</v>
          </cell>
          <cell r="H468">
            <v>15.744922901273103</v>
          </cell>
        </row>
        <row r="469">
          <cell r="B469" t="str">
            <v>D-SLFO</v>
          </cell>
          <cell r="C469" t="str">
            <v>VAR_fin</v>
          </cell>
          <cell r="D469" t="str">
            <v>BDS</v>
          </cell>
          <cell r="G469">
            <v>9.5317539077009793E-4</v>
          </cell>
          <cell r="H469">
            <v>7.4854263886987692E-3</v>
          </cell>
        </row>
        <row r="470">
          <cell r="B470" t="str">
            <v>D-RCOA</v>
          </cell>
          <cell r="C470" t="str">
            <v>VAR_fout</v>
          </cell>
          <cell r="D470" t="str">
            <v>CO2</v>
          </cell>
          <cell r="E470">
            <v>9.2728601039877496</v>
          </cell>
          <cell r="F470">
            <v>9.2711067197275501</v>
          </cell>
          <cell r="G470">
            <v>2.5001913696749498</v>
          </cell>
          <cell r="H470">
            <v>2.2053707618221001E-2</v>
          </cell>
        </row>
        <row r="471">
          <cell r="B471" t="str">
            <v>D-RCOA</v>
          </cell>
          <cell r="C471" t="str">
            <v>VAR_fout</v>
          </cell>
          <cell r="D471" t="str">
            <v>RCOA</v>
          </cell>
          <cell r="E471">
            <v>0.10003085333320115</v>
          </cell>
          <cell r="F471">
            <v>0.10001193872413756</v>
          </cell>
          <cell r="G471">
            <v>2.6970780686892657E-2</v>
          </cell>
          <cell r="H471">
            <v>2.3790407355146724E-4</v>
          </cell>
        </row>
        <row r="472">
          <cell r="B472" t="str">
            <v>D-RCOA</v>
          </cell>
          <cell r="C472" t="str">
            <v>VAR_fin</v>
          </cell>
          <cell r="D472" t="str">
            <v>COA</v>
          </cell>
          <cell r="E472">
            <v>0.10003085333320115</v>
          </cell>
          <cell r="F472">
            <v>0.10001193872413756</v>
          </cell>
          <cell r="G472">
            <v>2.6970780686892657E-2</v>
          </cell>
          <cell r="H472">
            <v>2.3790407355146724E-4</v>
          </cell>
        </row>
        <row r="473">
          <cell r="B473" t="str">
            <v>EHYD-RUN00</v>
          </cell>
          <cell r="C473" t="str">
            <v>VAR_fout</v>
          </cell>
          <cell r="D473" t="str">
            <v>ELC13</v>
          </cell>
          <cell r="E473">
            <v>54.392427528838581</v>
          </cell>
          <cell r="F473">
            <v>43.446291626133736</v>
          </cell>
          <cell r="G473">
            <v>53.243279841655301</v>
          </cell>
          <cell r="H473">
            <v>52.150433417890838</v>
          </cell>
        </row>
        <row r="474">
          <cell r="B474" t="str">
            <v>EHYD-RUN00</v>
          </cell>
          <cell r="C474" t="str">
            <v>VAR_fin</v>
          </cell>
          <cell r="D474" t="str">
            <v>HYDR</v>
          </cell>
          <cell r="E474">
            <v>54.392427528838581</v>
          </cell>
          <cell r="F474">
            <v>43.446291626133736</v>
          </cell>
          <cell r="G474">
            <v>53.243279841655301</v>
          </cell>
          <cell r="H474">
            <v>52.150433417890838</v>
          </cell>
        </row>
        <row r="475">
          <cell r="B475" t="str">
            <v>EHYD-RUN00</v>
          </cell>
          <cell r="C475" t="str">
            <v>VAR_cap</v>
          </cell>
          <cell r="D475" t="str">
            <v>-</v>
          </cell>
          <cell r="E475">
            <v>3.86687</v>
          </cell>
          <cell r="F475">
            <v>3.9240852000672399</v>
          </cell>
          <cell r="G475">
            <v>3.9610124303882599</v>
          </cell>
          <cell r="H475">
            <v>3.9647700000000001</v>
          </cell>
        </row>
        <row r="476">
          <cell r="B476" t="str">
            <v>HPLELCHP</v>
          </cell>
          <cell r="C476" t="str">
            <v>VAR_fout</v>
          </cell>
          <cell r="D476" t="str">
            <v>LTH</v>
          </cell>
          <cell r="F476">
            <v>4.1398524482292398</v>
          </cell>
          <cell r="G476">
            <v>4.2653255612942047</v>
          </cell>
          <cell r="H476">
            <v>11.51943336264898</v>
          </cell>
        </row>
        <row r="477">
          <cell r="B477" t="str">
            <v>HPLELCHP</v>
          </cell>
          <cell r="C477" t="str">
            <v>VAR_fin</v>
          </cell>
          <cell r="D477" t="str">
            <v>ELC35</v>
          </cell>
          <cell r="F477">
            <v>1.3799508160764142</v>
          </cell>
          <cell r="G477">
            <v>1.4217751870980675</v>
          </cell>
          <cell r="H477">
            <v>3.8398111208829926</v>
          </cell>
        </row>
        <row r="478">
          <cell r="B478" t="str">
            <v>HPLELCHP</v>
          </cell>
          <cell r="C478" t="str">
            <v>VAR_fin</v>
          </cell>
          <cell r="D478" t="str">
            <v>WWTPCC</v>
          </cell>
          <cell r="F478">
            <v>8.2797048964584796</v>
          </cell>
          <cell r="G478">
            <v>8.5306511225884094</v>
          </cell>
          <cell r="H478">
            <v>23.038866725298</v>
          </cell>
        </row>
        <row r="479">
          <cell r="B479" t="str">
            <v>HPLELCHP</v>
          </cell>
          <cell r="C479" t="str">
            <v>VAR_ncap</v>
          </cell>
          <cell r="D479" t="str">
            <v>-</v>
          </cell>
          <cell r="F479">
            <v>0.25602297966626397</v>
          </cell>
          <cell r="G479">
            <v>7.8034785782144902E-3</v>
          </cell>
          <cell r="H479">
            <v>0.44619696356321298</v>
          </cell>
        </row>
        <row r="480">
          <cell r="B480" t="str">
            <v>HPLELCHP</v>
          </cell>
          <cell r="C480" t="str">
            <v>VAR_cap</v>
          </cell>
          <cell r="D480" t="str">
            <v>-</v>
          </cell>
          <cell r="F480">
            <v>0.25602297966626397</v>
          </cell>
          <cell r="G480">
            <v>0.26381878566234018</v>
          </cell>
          <cell r="H480">
            <v>0.71000311833732888</v>
          </cell>
        </row>
        <row r="481">
          <cell r="B481" t="str">
            <v>D-ITOT_LTH</v>
          </cell>
          <cell r="C481" t="str">
            <v>VAR_fout</v>
          </cell>
          <cell r="D481" t="str">
            <v>ITOT_LTH_DH</v>
          </cell>
          <cell r="E481">
            <v>7.1202094790041857</v>
          </cell>
          <cell r="F481">
            <v>7.6289546232497099</v>
          </cell>
          <cell r="G481">
            <v>7.6289456009858734</v>
          </cell>
          <cell r="H481">
            <v>7.6290252733156585</v>
          </cell>
        </row>
        <row r="482">
          <cell r="B482" t="str">
            <v>D-ITOT_LTH</v>
          </cell>
          <cell r="C482" t="str">
            <v>VAR_fin</v>
          </cell>
          <cell r="D482" t="str">
            <v>LTH</v>
          </cell>
          <cell r="E482">
            <v>7.7405634205725988</v>
          </cell>
          <cell r="F482">
            <v>8.2914537249965665</v>
          </cell>
          <cell r="G482">
            <v>8.2881765697366596</v>
          </cell>
          <cell r="H482">
            <v>8.282823206030379</v>
          </cell>
        </row>
        <row r="483">
          <cell r="B483" t="str">
            <v>D-ITOT_LTH</v>
          </cell>
          <cell r="C483" t="str">
            <v>VAR_ncap</v>
          </cell>
          <cell r="D483" t="str">
            <v>-</v>
          </cell>
          <cell r="E483">
            <v>0.79547978136727204</v>
          </cell>
          <cell r="F483">
            <v>2.0011936391865699E-6</v>
          </cell>
          <cell r="G483">
            <v>2.2673591661852101E-6</v>
          </cell>
          <cell r="H483">
            <v>2.5860812663031202E-6</v>
          </cell>
        </row>
        <row r="484">
          <cell r="B484" t="str">
            <v>D-ITOT_LTH</v>
          </cell>
          <cell r="C484" t="str">
            <v>VAR_cap</v>
          </cell>
          <cell r="D484" t="str">
            <v>-</v>
          </cell>
          <cell r="E484">
            <v>0.79547978136727204</v>
          </cell>
          <cell r="F484">
            <v>0.79548178256091195</v>
          </cell>
          <cell r="G484">
            <v>0.79548404992007804</v>
          </cell>
          <cell r="H484">
            <v>0.79548663600134395</v>
          </cell>
        </row>
        <row r="485">
          <cell r="B485" t="str">
            <v>D-IH2</v>
          </cell>
          <cell r="C485" t="str">
            <v>VAR_fout</v>
          </cell>
          <cell r="D485" t="str">
            <v>IH2</v>
          </cell>
        </row>
        <row r="486">
          <cell r="B486" t="str">
            <v>D-IH2</v>
          </cell>
          <cell r="C486" t="str">
            <v>VAR_fin</v>
          </cell>
          <cell r="D486" t="str">
            <v>H2</v>
          </cell>
        </row>
        <row r="487">
          <cell r="B487" t="str">
            <v>D-IH2</v>
          </cell>
          <cell r="C487" t="str">
            <v>VAR_ncap</v>
          </cell>
          <cell r="D487" t="str">
            <v>-</v>
          </cell>
          <cell r="H487">
            <v>1.4036171507022399E-5</v>
          </cell>
        </row>
        <row r="488">
          <cell r="B488" t="str">
            <v>D-IH2</v>
          </cell>
          <cell r="C488" t="str">
            <v>VAR_cap</v>
          </cell>
          <cell r="D488" t="str">
            <v>-</v>
          </cell>
          <cell r="H488">
            <v>1.4036171507022399E-5</v>
          </cell>
        </row>
        <row r="489">
          <cell r="B489" t="str">
            <v>RHEM-ESOLPV</v>
          </cell>
          <cell r="C489" t="str">
            <v>VAR_fout</v>
          </cell>
          <cell r="D489" t="str">
            <v>RHEM_SOL_ELC</v>
          </cell>
          <cell r="E489">
            <v>0.86248322578584768</v>
          </cell>
          <cell r="F489">
            <v>1.2875876906677814</v>
          </cell>
          <cell r="G489">
            <v>1.5483453381811019</v>
          </cell>
          <cell r="H489">
            <v>1.6856708968477607</v>
          </cell>
        </row>
        <row r="490">
          <cell r="B490" t="str">
            <v>RHEM-ESOLPV</v>
          </cell>
          <cell r="C490" t="str">
            <v>VAR_fin</v>
          </cell>
          <cell r="D490" t="str">
            <v>SOL</v>
          </cell>
          <cell r="E490">
            <v>0.86248322578584768</v>
          </cell>
          <cell r="F490">
            <v>1.2875876906677814</v>
          </cell>
          <cell r="G490">
            <v>1.5483453381811019</v>
          </cell>
          <cell r="H490">
            <v>1.6856708968477607</v>
          </cell>
        </row>
        <row r="491">
          <cell r="B491" t="str">
            <v>RHEM-ESOLPV</v>
          </cell>
          <cell r="C491" t="str">
            <v>VAR_fin</v>
          </cell>
          <cell r="D491" t="str">
            <v>SOLPVC</v>
          </cell>
          <cell r="E491">
            <v>0.86248322578584802</v>
          </cell>
          <cell r="F491">
            <v>1.2875876906677799</v>
          </cell>
          <cell r="G491">
            <v>1.5483453381811001</v>
          </cell>
          <cell r="H491">
            <v>1.6856708968477601</v>
          </cell>
        </row>
        <row r="492">
          <cell r="B492" t="str">
            <v>RHEM-ESOLPV</v>
          </cell>
          <cell r="C492" t="str">
            <v>VAR_ncap</v>
          </cell>
          <cell r="D492" t="str">
            <v>-</v>
          </cell>
          <cell r="F492">
            <v>1.74454428910271E-6</v>
          </cell>
          <cell r="G492">
            <v>1.08696162921615E-2</v>
          </cell>
          <cell r="H492">
            <v>3.6423291917216001E-3</v>
          </cell>
        </row>
        <row r="493">
          <cell r="B493" t="str">
            <v>RHEM-ESOLPV</v>
          </cell>
          <cell r="C493" t="str">
            <v>VAR_cap</v>
          </cell>
          <cell r="D493" t="str">
            <v>-</v>
          </cell>
          <cell r="E493">
            <v>0.27424799999999999</v>
          </cell>
          <cell r="F493">
            <v>0.43894706202070211</v>
          </cell>
          <cell r="G493">
            <v>0.49401936083645059</v>
          </cell>
          <cell r="H493">
            <v>0.48593690228765424</v>
          </cell>
        </row>
        <row r="494">
          <cell r="B494" t="str">
            <v>HPLNUC</v>
          </cell>
          <cell r="C494" t="str">
            <v>VAR_fout</v>
          </cell>
          <cell r="D494" t="str">
            <v>LTH</v>
          </cell>
          <cell r="E494">
            <v>1.4503484521851611</v>
          </cell>
          <cell r="F494">
            <v>3.8005723339729314</v>
          </cell>
          <cell r="G494">
            <v>3.7610156438209685</v>
          </cell>
          <cell r="H494">
            <v>1.0653320352998967</v>
          </cell>
        </row>
        <row r="495">
          <cell r="B495" t="str">
            <v>HPLNUC</v>
          </cell>
          <cell r="C495" t="str">
            <v>VAR_fin</v>
          </cell>
          <cell r="D495" t="str">
            <v>URN</v>
          </cell>
          <cell r="E495">
            <v>1.4503484521851611</v>
          </cell>
          <cell r="F495">
            <v>3.8005723339729314</v>
          </cell>
          <cell r="G495">
            <v>3.7610156438209685</v>
          </cell>
          <cell r="H495">
            <v>1.0653320352998967</v>
          </cell>
        </row>
        <row r="496">
          <cell r="B496" t="str">
            <v>HPLNUC</v>
          </cell>
          <cell r="C496" t="str">
            <v>VAR_cap</v>
          </cell>
          <cell r="D496" t="str">
            <v>-</v>
          </cell>
          <cell r="E496">
            <v>0.120558721922211</v>
          </cell>
          <cell r="F496">
            <v>0.120558721922211</v>
          </cell>
          <cell r="G496">
            <v>0.120558721922211</v>
          </cell>
          <cell r="H496">
            <v>0.11197225056919</v>
          </cell>
        </row>
        <row r="497">
          <cell r="B497" t="str">
            <v>ITOT-CHPWODCCS</v>
          </cell>
          <cell r="C497" t="str">
            <v>VAR_fout</v>
          </cell>
          <cell r="D497" t="str">
            <v>CO2_O</v>
          </cell>
        </row>
        <row r="498">
          <cell r="B498" t="str">
            <v>ITOT-CHPWODCCS</v>
          </cell>
          <cell r="C498" t="str">
            <v>VAR_fout</v>
          </cell>
          <cell r="D498" t="str">
            <v>CO2</v>
          </cell>
        </row>
        <row r="499">
          <cell r="B499" t="str">
            <v>ITOT-CHPWODCCS</v>
          </cell>
          <cell r="C499" t="str">
            <v>VAR_fout</v>
          </cell>
          <cell r="D499" t="str">
            <v>ITOT_LTH_CHP</v>
          </cell>
        </row>
        <row r="500">
          <cell r="B500" t="str">
            <v>ITOT-CHPWODCCS</v>
          </cell>
          <cell r="C500" t="str">
            <v>VAR_fout</v>
          </cell>
          <cell r="D500" t="str">
            <v>ITOT_KEV_WOD_ELC_CHP</v>
          </cell>
        </row>
        <row r="501">
          <cell r="B501" t="str">
            <v>ITOT-CHPWODCCS</v>
          </cell>
          <cell r="C501" t="str">
            <v>VAR_fin</v>
          </cell>
          <cell r="D501" t="str">
            <v>IWOD</v>
          </cell>
        </row>
        <row r="502">
          <cell r="B502" t="str">
            <v>ITOT-CHPWODCCS</v>
          </cell>
          <cell r="C502" t="str">
            <v>VAR_ncap</v>
          </cell>
          <cell r="D502" t="str">
            <v>-</v>
          </cell>
        </row>
        <row r="503">
          <cell r="B503" t="str">
            <v>ITOT-CHPWODCCS</v>
          </cell>
          <cell r="C503" t="str">
            <v>VAR_cap</v>
          </cell>
          <cell r="D503" t="str">
            <v>-</v>
          </cell>
        </row>
        <row r="504">
          <cell r="B504" t="str">
            <v>SUP_WODBIO</v>
          </cell>
          <cell r="C504" t="str">
            <v>VAR_fout</v>
          </cell>
          <cell r="D504" t="str">
            <v>ELC35</v>
          </cell>
          <cell r="F504">
            <v>1.8328472478563364E-4</v>
          </cell>
          <cell r="G504">
            <v>8.2850718410027737E-5</v>
          </cell>
          <cell r="H504">
            <v>2.7061888861310462E-4</v>
          </cell>
        </row>
        <row r="505">
          <cell r="B505" t="str">
            <v>SUP_WODBIO</v>
          </cell>
          <cell r="C505" t="str">
            <v>VAR_fout</v>
          </cell>
          <cell r="D505" t="str">
            <v>BIO</v>
          </cell>
          <cell r="F505">
            <v>4.5821181196408333E-3</v>
          </cell>
          <cell r="G505">
            <v>2.0712679602506927E-3</v>
          </cell>
          <cell r="H505">
            <v>6.7654722153275993E-3</v>
          </cell>
        </row>
        <row r="506">
          <cell r="B506" t="str">
            <v>SUP_WODBIO</v>
          </cell>
          <cell r="C506" t="str">
            <v>VAR_fout</v>
          </cell>
          <cell r="D506" t="str">
            <v>LTH</v>
          </cell>
          <cell r="F506">
            <v>5.4985417435690089E-4</v>
          </cell>
          <cell r="G506">
            <v>2.4855215523008283E-4</v>
          </cell>
          <cell r="H506">
            <v>8.1185666583931209E-4</v>
          </cell>
        </row>
        <row r="507">
          <cell r="B507" t="str">
            <v>SUP_WODBIO</v>
          </cell>
          <cell r="C507" t="str">
            <v>VAR_fin</v>
          </cell>
          <cell r="D507" t="str">
            <v>CWOD</v>
          </cell>
          <cell r="F507">
            <v>6.1858594615151257E-3</v>
          </cell>
          <cell r="G507">
            <v>2.7962117463384306E-3</v>
          </cell>
          <cell r="H507">
            <v>9.1333874906922713E-3</v>
          </cell>
        </row>
        <row r="508">
          <cell r="B508" t="str">
            <v>SUP_WODBIO</v>
          </cell>
          <cell r="C508" t="str">
            <v>VAR_ncap</v>
          </cell>
          <cell r="D508" t="str">
            <v>-</v>
          </cell>
          <cell r="E508">
            <v>1.6210554757487498E-5</v>
          </cell>
          <cell r="F508">
            <v>6.2400521432721696E-4</v>
          </cell>
          <cell r="G508">
            <v>2.9688482860222198E-5</v>
          </cell>
          <cell r="H508">
            <v>1.06869260853491E-5</v>
          </cell>
        </row>
        <row r="509">
          <cell r="B509" t="str">
            <v>SUP_WODBIO</v>
          </cell>
          <cell r="C509" t="str">
            <v>VAR_cap</v>
          </cell>
          <cell r="D509" t="str">
            <v>-</v>
          </cell>
          <cell r="E509">
            <v>1.6210554757487498E-5</v>
          </cell>
          <cell r="F509">
            <v>6.3860374680141071E-4</v>
          </cell>
          <cell r="G509">
            <v>6.6402033593582742E-4</v>
          </cell>
          <cell r="H509">
            <v>6.7125995242248832E-4</v>
          </cell>
        </row>
        <row r="510">
          <cell r="B510" t="str">
            <v>D-RLFO</v>
          </cell>
          <cell r="C510" t="str">
            <v>VAR_fout</v>
          </cell>
          <cell r="D510" t="str">
            <v>CO2</v>
          </cell>
          <cell r="E510">
            <v>4514.5291404127502</v>
          </cell>
          <cell r="F510">
            <v>3846.57266256306</v>
          </cell>
          <cell r="G510">
            <v>3706.0219843080899</v>
          </cell>
          <cell r="H510">
            <v>1823.5811585651199</v>
          </cell>
        </row>
        <row r="511">
          <cell r="B511" t="str">
            <v>D-RLFO</v>
          </cell>
          <cell r="C511" t="str">
            <v>VAR_fout</v>
          </cell>
          <cell r="D511" t="str">
            <v>RLFO</v>
          </cell>
          <cell r="E511">
            <v>60.232445624916004</v>
          </cell>
          <cell r="F511">
            <v>51.320629800815738</v>
          </cell>
          <cell r="G511">
            <v>49.44635418167627</v>
          </cell>
          <cell r="H511">
            <v>24.33745865641847</v>
          </cell>
        </row>
        <row r="512">
          <cell r="B512" t="str">
            <v>D-RLFO</v>
          </cell>
          <cell r="C512" t="str">
            <v>VAR_fin</v>
          </cell>
          <cell r="D512" t="str">
            <v>LFO</v>
          </cell>
          <cell r="E512">
            <v>61.25548358768993</v>
          </cell>
          <cell r="F512">
            <v>52.192302070055007</v>
          </cell>
          <cell r="G512">
            <v>50.285237236201965</v>
          </cell>
          <cell r="H512">
            <v>24.743299302104791</v>
          </cell>
        </row>
        <row r="513">
          <cell r="B513" t="str">
            <v>D-RLFO</v>
          </cell>
          <cell r="C513" t="str">
            <v>VAR_fin</v>
          </cell>
          <cell r="D513" t="str">
            <v>BDS</v>
          </cell>
          <cell r="G513">
            <v>9.5434524827599904E-4</v>
          </cell>
          <cell r="H513">
            <v>7.5287058467960605E-3</v>
          </cell>
        </row>
        <row r="514">
          <cell r="B514" t="str">
            <v>G-INTC-EXP00-IT</v>
          </cell>
          <cell r="C514" t="str">
            <v>VAR_fout</v>
          </cell>
          <cell r="D514" t="str">
            <v>ELC_E-IT</v>
          </cell>
          <cell r="E514">
            <v>71.694131784294385</v>
          </cell>
          <cell r="F514">
            <v>34.86251306640257</v>
          </cell>
          <cell r="G514">
            <v>71.904851705876354</v>
          </cell>
          <cell r="H514">
            <v>52.680973523479118</v>
          </cell>
        </row>
        <row r="515">
          <cell r="B515" t="str">
            <v>G-INTC-EXP00-IT</v>
          </cell>
          <cell r="C515" t="str">
            <v>VAR_fin</v>
          </cell>
          <cell r="D515" t="str">
            <v>ELC</v>
          </cell>
          <cell r="E515">
            <v>71.694131784294385</v>
          </cell>
          <cell r="F515">
            <v>34.86251306640257</v>
          </cell>
          <cell r="G515">
            <v>71.904851705876354</v>
          </cell>
          <cell r="H515">
            <v>52.680973523479118</v>
          </cell>
        </row>
        <row r="516">
          <cell r="B516" t="str">
            <v>G-INTC-EXP00-IT</v>
          </cell>
          <cell r="C516" t="str">
            <v>VAR_ncap</v>
          </cell>
          <cell r="D516" t="str">
            <v>-</v>
          </cell>
          <cell r="E516">
            <v>3.5351282395219399E-5</v>
          </cell>
          <cell r="F516">
            <v>3.1963122217864801E-5</v>
          </cell>
          <cell r="G516">
            <v>3.83722600089321E-5</v>
          </cell>
          <cell r="H516">
            <v>4.0053802249792298E-5</v>
          </cell>
        </row>
        <row r="517">
          <cell r="B517" t="str">
            <v>G-INTC-EXP00-IT</v>
          </cell>
          <cell r="C517" t="str">
            <v>VAR_cap</v>
          </cell>
          <cell r="D517" t="str">
            <v>-</v>
          </cell>
          <cell r="E517">
            <v>3.7498913733083028</v>
          </cell>
          <cell r="F517">
            <v>3.7497952684715536</v>
          </cell>
          <cell r="G517">
            <v>3.7497759004375069</v>
          </cell>
          <cell r="H517">
            <v>3.7497891893365791</v>
          </cell>
        </row>
        <row r="518">
          <cell r="B518" t="str">
            <v>EWOD-CCS</v>
          </cell>
          <cell r="C518" t="str">
            <v>VAR_fout</v>
          </cell>
          <cell r="D518" t="str">
            <v>CO2_O</v>
          </cell>
        </row>
        <row r="519">
          <cell r="B519" t="str">
            <v>EWOD-CCS</v>
          </cell>
          <cell r="C519" t="str">
            <v>VAR_fout</v>
          </cell>
          <cell r="D519" t="str">
            <v>CO2</v>
          </cell>
        </row>
        <row r="520">
          <cell r="B520" t="str">
            <v>EWOD-CCS</v>
          </cell>
          <cell r="C520" t="str">
            <v>VAR_fout</v>
          </cell>
          <cell r="D520" t="str">
            <v>ELC13</v>
          </cell>
        </row>
        <row r="521">
          <cell r="B521" t="str">
            <v>EWOD-CCS</v>
          </cell>
          <cell r="C521" t="str">
            <v>VAR_fin</v>
          </cell>
          <cell r="D521" t="str">
            <v>EWOD</v>
          </cell>
        </row>
        <row r="522">
          <cell r="B522" t="str">
            <v>EWOD-CCS</v>
          </cell>
          <cell r="C522" t="str">
            <v>VAR_ncap</v>
          </cell>
          <cell r="D522" t="str">
            <v>-</v>
          </cell>
        </row>
        <row r="523">
          <cell r="B523" t="str">
            <v>EWOD-CCS</v>
          </cell>
          <cell r="C523" t="str">
            <v>VAR_cap</v>
          </cell>
          <cell r="D523" t="str">
            <v>-</v>
          </cell>
        </row>
        <row r="524">
          <cell r="B524" t="str">
            <v>EOIL-ENG</v>
          </cell>
          <cell r="C524" t="str">
            <v>VAR_fout</v>
          </cell>
          <cell r="D524" t="str">
            <v>ELC35</v>
          </cell>
          <cell r="E524">
            <v>3.9634894610343877E-2</v>
          </cell>
          <cell r="F524">
            <v>2.5645816070054618E-3</v>
          </cell>
          <cell r="G524">
            <v>3.759870426523073E-2</v>
          </cell>
          <cell r="H524">
            <v>5.1097582842592843E-3</v>
          </cell>
        </row>
        <row r="525">
          <cell r="B525" t="str">
            <v>EOIL-ENG</v>
          </cell>
          <cell r="C525" t="str">
            <v>VAR_fout</v>
          </cell>
          <cell r="D525" t="str">
            <v>CO2_E</v>
          </cell>
          <cell r="E525">
            <v>17.485520058401502</v>
          </cell>
          <cell r="F525">
            <v>21.5414119086619</v>
          </cell>
          <cell r="G525">
            <v>9.9893658785399406</v>
          </cell>
          <cell r="H525">
            <v>1.30585304251482</v>
          </cell>
        </row>
        <row r="526">
          <cell r="B526" t="str">
            <v>EOIL-ENG</v>
          </cell>
          <cell r="C526" t="str">
            <v>VAR_fin</v>
          </cell>
          <cell r="D526" t="str">
            <v>ELFO</v>
          </cell>
          <cell r="E526">
            <v>0.23725264665402263</v>
          </cell>
          <cell r="F526">
            <v>0.29228510052458495</v>
          </cell>
          <cell r="G526">
            <v>0.13554092101139664</v>
          </cell>
          <cell r="H526">
            <v>1.7718494471028752E-2</v>
          </cell>
        </row>
        <row r="527">
          <cell r="B527" t="str">
            <v>EOIL-ENG</v>
          </cell>
          <cell r="C527" t="str">
            <v>VAR_ncap</v>
          </cell>
          <cell r="D527" t="str">
            <v>-</v>
          </cell>
          <cell r="F527">
            <v>6.8119039490294295E-4</v>
          </cell>
          <cell r="G527">
            <v>1.5747048355054499E-2</v>
          </cell>
          <cell r="H527">
            <v>1.671709355842E-2</v>
          </cell>
        </row>
        <row r="528">
          <cell r="B528" t="str">
            <v>EOIL-ENG</v>
          </cell>
          <cell r="C528" t="str">
            <v>VAR_cap</v>
          </cell>
          <cell r="D528" t="str">
            <v>-</v>
          </cell>
          <cell r="E528">
            <v>8.1232829986476796E-2</v>
          </cell>
          <cell r="F528">
            <v>3.5789385088572843E-2</v>
          </cell>
          <cell r="G528">
            <v>3.26621325943348E-2</v>
          </cell>
          <cell r="H528">
            <v>4.0101408809086622E-2</v>
          </cell>
        </row>
        <row r="529">
          <cell r="B529" t="str">
            <v>D-SWOD</v>
          </cell>
          <cell r="C529" t="str">
            <v>VAR_fout</v>
          </cell>
          <cell r="D529" t="str">
            <v>SWOD</v>
          </cell>
          <cell r="E529">
            <v>8.5744660242739226</v>
          </cell>
          <cell r="F529">
            <v>7.2610711900694813</v>
          </cell>
          <cell r="G529">
            <v>10.069284452655683</v>
          </cell>
          <cell r="H529">
            <v>9.6060666162982002</v>
          </cell>
        </row>
        <row r="530">
          <cell r="B530" t="str">
            <v>D-SWOD</v>
          </cell>
          <cell r="C530" t="str">
            <v>VAR_fin</v>
          </cell>
          <cell r="D530" t="str">
            <v>WOD</v>
          </cell>
          <cell r="E530">
            <v>8.5744660242739226</v>
          </cell>
          <cell r="F530">
            <v>7.2610711900694813</v>
          </cell>
          <cell r="G530">
            <v>10.069284452655683</v>
          </cell>
          <cell r="H530">
            <v>9.6060666162982002</v>
          </cell>
        </row>
        <row r="531">
          <cell r="B531" t="str">
            <v>SCOM-CHPWOD</v>
          </cell>
          <cell r="C531" t="str">
            <v>VAR_ncap</v>
          </cell>
          <cell r="D531" t="str">
            <v>-</v>
          </cell>
          <cell r="H531">
            <v>2.5563926205390602E-4</v>
          </cell>
        </row>
        <row r="532">
          <cell r="B532" t="str">
            <v>SCOM-CHPWOD</v>
          </cell>
          <cell r="C532" t="str">
            <v>VAR_cap</v>
          </cell>
          <cell r="D532" t="str">
            <v>-</v>
          </cell>
          <cell r="H532">
            <v>2.5563926205390602E-4</v>
          </cell>
        </row>
        <row r="533">
          <cell r="B533" t="str">
            <v>ENUC_BMGL</v>
          </cell>
          <cell r="C533" t="str">
            <v>VAR_fout</v>
          </cell>
          <cell r="D533" t="str">
            <v>ELC</v>
          </cell>
          <cell r="E533">
            <v>32.820819532885672</v>
          </cell>
          <cell r="F533">
            <v>32.820660195624974</v>
          </cell>
          <cell r="G533">
            <v>32.820595744857229</v>
          </cell>
          <cell r="H533">
            <v>32.820711319274238</v>
          </cell>
        </row>
        <row r="534">
          <cell r="B534" t="str">
            <v>ENUC_BMGL</v>
          </cell>
          <cell r="C534" t="str">
            <v>VAR_fin</v>
          </cell>
          <cell r="D534" t="str">
            <v>URN</v>
          </cell>
          <cell r="E534">
            <v>98.945558292830725</v>
          </cell>
          <cell r="F534">
            <v>98.945077935714565</v>
          </cell>
          <cell r="G534">
            <v>98.944883634740719</v>
          </cell>
          <cell r="H534">
            <v>98.945232059166912</v>
          </cell>
        </row>
        <row r="535">
          <cell r="B535" t="str">
            <v>ENUC_BMGL</v>
          </cell>
          <cell r="C535" t="str">
            <v>VAR_cap</v>
          </cell>
          <cell r="D535" t="str">
            <v>-</v>
          </cell>
          <cell r="E535">
            <v>1.219999664491805</v>
          </cell>
          <cell r="F535">
            <v>1.2199988067618708</v>
          </cell>
          <cell r="G535">
            <v>1.2199989241095346</v>
          </cell>
          <cell r="H535">
            <v>1.219999066194585</v>
          </cell>
        </row>
        <row r="536">
          <cell r="B536" t="str">
            <v>D-RSH2R</v>
          </cell>
          <cell r="C536" t="str">
            <v>VAR_fout</v>
          </cell>
          <cell r="D536" t="str">
            <v>RSH2</v>
          </cell>
          <cell r="H536">
            <v>4.949715505839546E-3</v>
          </cell>
        </row>
        <row r="537">
          <cell r="B537" t="str">
            <v>D-RSH2R</v>
          </cell>
          <cell r="C537" t="str">
            <v>VAR_fin</v>
          </cell>
          <cell r="D537" t="str">
            <v>H2</v>
          </cell>
          <cell r="H537">
            <v>4.949715505839546E-3</v>
          </cell>
        </row>
        <row r="538">
          <cell r="B538" t="str">
            <v>D-RSH2R</v>
          </cell>
          <cell r="C538" t="str">
            <v>VAR_ncap</v>
          </cell>
          <cell r="D538" t="str">
            <v>-</v>
          </cell>
          <cell r="H538">
            <v>9.2706046910049603E-4</v>
          </cell>
        </row>
        <row r="539">
          <cell r="B539" t="str">
            <v>D-RSH2R</v>
          </cell>
          <cell r="C539" t="str">
            <v>VAR_cap</v>
          </cell>
          <cell r="D539" t="str">
            <v>-</v>
          </cell>
          <cell r="H539">
            <v>9.2706046910049603E-4</v>
          </cell>
        </row>
        <row r="540">
          <cell r="B540" t="str">
            <v>ENGA-GTOC</v>
          </cell>
          <cell r="C540" t="str">
            <v>VAR_fout</v>
          </cell>
          <cell r="D540" t="str">
            <v>ELC13</v>
          </cell>
        </row>
        <row r="541">
          <cell r="B541" t="str">
            <v>ENGA-GTOC</v>
          </cell>
          <cell r="C541" t="str">
            <v>VAR_fout</v>
          </cell>
          <cell r="D541" t="str">
            <v>CO2_E</v>
          </cell>
        </row>
        <row r="542">
          <cell r="B542" t="str">
            <v>ENGA-GTOC</v>
          </cell>
          <cell r="C542" t="str">
            <v>VAR_fin</v>
          </cell>
          <cell r="D542" t="str">
            <v>ENGA</v>
          </cell>
        </row>
        <row r="543">
          <cell r="B543" t="str">
            <v>ENGA-GTOC</v>
          </cell>
          <cell r="C543" t="str">
            <v>VAR_fin</v>
          </cell>
          <cell r="D543" t="str">
            <v>GTC</v>
          </cell>
        </row>
        <row r="544">
          <cell r="B544" t="str">
            <v>ENGA-GTOC</v>
          </cell>
          <cell r="C544" t="str">
            <v>VAR_ncap</v>
          </cell>
          <cell r="D544" t="str">
            <v>-</v>
          </cell>
        </row>
        <row r="545">
          <cell r="B545" t="str">
            <v>ENGA-GTOC</v>
          </cell>
          <cell r="C545" t="str">
            <v>VAR_cap</v>
          </cell>
          <cell r="D545" t="str">
            <v>-</v>
          </cell>
        </row>
        <row r="546">
          <cell r="B546" t="str">
            <v>D-RSH2</v>
          </cell>
          <cell r="C546" t="str">
            <v>VAR_fout</v>
          </cell>
          <cell r="D546" t="str">
            <v>RSH2</v>
          </cell>
          <cell r="H546">
            <v>4.6824012189241671E-3</v>
          </cell>
        </row>
        <row r="547">
          <cell r="B547" t="str">
            <v>D-RSH2</v>
          </cell>
          <cell r="C547" t="str">
            <v>VAR_fin</v>
          </cell>
          <cell r="D547" t="str">
            <v>H2</v>
          </cell>
          <cell r="H547">
            <v>4.7180735682675352E-3</v>
          </cell>
        </row>
        <row r="548">
          <cell r="B548" t="str">
            <v>D-RSH2</v>
          </cell>
          <cell r="C548" t="str">
            <v>VAR_ncap</v>
          </cell>
          <cell r="D548" t="str">
            <v>-</v>
          </cell>
          <cell r="H548">
            <v>1.2126009950502001E-3</v>
          </cell>
        </row>
        <row r="549">
          <cell r="B549" t="str">
            <v>D-RSH2</v>
          </cell>
          <cell r="C549" t="str">
            <v>VAR_cap</v>
          </cell>
          <cell r="D549" t="str">
            <v>-</v>
          </cell>
          <cell r="H549">
            <v>1.2126009950502001E-3</v>
          </cell>
        </row>
        <row r="550">
          <cell r="B550" t="str">
            <v>D-RWOD</v>
          </cell>
          <cell r="C550" t="str">
            <v>VAR_fout</v>
          </cell>
          <cell r="D550" t="str">
            <v>RWOD</v>
          </cell>
          <cell r="E550">
            <v>13.723481082941639</v>
          </cell>
          <cell r="F550">
            <v>15.204634650354425</v>
          </cell>
          <cell r="G550">
            <v>16.945578762872383</v>
          </cell>
          <cell r="H550">
            <v>15.000448781571004</v>
          </cell>
        </row>
        <row r="551">
          <cell r="B551" t="str">
            <v>D-RWOD</v>
          </cell>
          <cell r="C551" t="str">
            <v>VAR_fin</v>
          </cell>
          <cell r="D551" t="str">
            <v>WOD</v>
          </cell>
          <cell r="E551">
            <v>13.723481082941639</v>
          </cell>
          <cell r="F551">
            <v>15.204634650354425</v>
          </cell>
          <cell r="G551">
            <v>16.945578762872383</v>
          </cell>
          <cell r="H551">
            <v>15.000448781571004</v>
          </cell>
        </row>
        <row r="552">
          <cell r="B552" t="str">
            <v>CHPOIL</v>
          </cell>
          <cell r="C552" t="str">
            <v>VAR_fout</v>
          </cell>
          <cell r="D552" t="str">
            <v>ELC35</v>
          </cell>
          <cell r="E552">
            <v>1.8349123239430553E-3</v>
          </cell>
          <cell r="F552">
            <v>2.4504348226983604E-3</v>
          </cell>
          <cell r="G552">
            <v>8.458607703420223E-3</v>
          </cell>
          <cell r="H552">
            <v>1.9039403292679326E-3</v>
          </cell>
        </row>
        <row r="553">
          <cell r="B553" t="str">
            <v>CHPOIL</v>
          </cell>
          <cell r="C553" t="str">
            <v>VAR_fout</v>
          </cell>
          <cell r="D553" t="str">
            <v>LTH</v>
          </cell>
          <cell r="E553">
            <v>9.436691951707139E-3</v>
          </cell>
          <cell r="F553">
            <v>1.2602236231020103E-2</v>
          </cell>
          <cell r="G553">
            <v>4.3501411046161162E-2</v>
          </cell>
          <cell r="H553">
            <v>9.7916931219493644E-3</v>
          </cell>
        </row>
        <row r="554">
          <cell r="B554" t="str">
            <v>CHPOIL</v>
          </cell>
          <cell r="C554" t="str">
            <v>VAR_fout</v>
          </cell>
          <cell r="D554" t="str">
            <v>CO2_E</v>
          </cell>
          <cell r="E554">
            <v>10.030526384494101</v>
          </cell>
          <cell r="F554">
            <v>23.123564367005699</v>
          </cell>
          <cell r="G554">
            <v>7.2147431585767601</v>
          </cell>
          <cell r="H554">
            <v>1.44625881774772</v>
          </cell>
        </row>
        <row r="555">
          <cell r="B555" t="str">
            <v>CHPOIL</v>
          </cell>
          <cell r="C555" t="str">
            <v>VAR_fin</v>
          </cell>
          <cell r="D555" t="str">
            <v>ELFO</v>
          </cell>
          <cell r="E555">
            <v>0.1360994082020909</v>
          </cell>
          <cell r="F555">
            <v>0.31375256943019902</v>
          </cell>
          <cell r="G555">
            <v>9.7893394281909907E-2</v>
          </cell>
          <cell r="H555">
            <v>1.9623593185179356E-2</v>
          </cell>
        </row>
        <row r="556">
          <cell r="B556" t="str">
            <v>CHPOIL</v>
          </cell>
          <cell r="C556" t="str">
            <v>VAR_ncap</v>
          </cell>
          <cell r="D556" t="str">
            <v>-</v>
          </cell>
          <cell r="F556">
            <v>4.3320247787038599E-4</v>
          </cell>
          <cell r="G556">
            <v>1.4826461404456501E-4</v>
          </cell>
          <cell r="H556">
            <v>1.24311930833582E-4</v>
          </cell>
        </row>
        <row r="557">
          <cell r="B557" t="str">
            <v>CHPOIL</v>
          </cell>
          <cell r="C557" t="str">
            <v>VAR_cap</v>
          </cell>
          <cell r="D557" t="str">
            <v>-</v>
          </cell>
          <cell r="E557">
            <v>1.0757283737330673E-2</v>
          </cell>
          <cell r="F557">
            <v>1.0406777987479129E-2</v>
          </cell>
          <cell r="G557">
            <v>1.0067985908567135E-2</v>
          </cell>
          <cell r="H557">
            <v>5.9965843477021719E-3</v>
          </cell>
        </row>
        <row r="558">
          <cell r="B558" t="str">
            <v>CHPHFC</v>
          </cell>
          <cell r="C558" t="str">
            <v>VAR_fout</v>
          </cell>
          <cell r="D558" t="str">
            <v>ELC35</v>
          </cell>
        </row>
        <row r="559">
          <cell r="B559" t="str">
            <v>CHPHFC</v>
          </cell>
          <cell r="C559" t="str">
            <v>VAR_fout</v>
          </cell>
          <cell r="D559" t="str">
            <v>LTH</v>
          </cell>
        </row>
        <row r="560">
          <cell r="B560" t="str">
            <v>CHPHFC</v>
          </cell>
          <cell r="C560" t="str">
            <v>VAR_fin</v>
          </cell>
          <cell r="D560" t="str">
            <v>EH2</v>
          </cell>
        </row>
        <row r="561">
          <cell r="B561" t="str">
            <v>CHPHFC</v>
          </cell>
          <cell r="C561" t="str">
            <v>VAR_ncap</v>
          </cell>
          <cell r="D561" t="str">
            <v>-</v>
          </cell>
        </row>
        <row r="562">
          <cell r="B562" t="str">
            <v>CHPHFC</v>
          </cell>
          <cell r="C562" t="str">
            <v>VAR_cap</v>
          </cell>
          <cell r="D562" t="str">
            <v>-</v>
          </cell>
        </row>
        <row r="563">
          <cell r="B563" t="str">
            <v>ITOT-ESOLPV</v>
          </cell>
          <cell r="C563" t="str">
            <v>VAR_fout</v>
          </cell>
          <cell r="D563" t="str">
            <v>ITOT_SOL_ELC</v>
          </cell>
          <cell r="E563">
            <v>3.517953999707534</v>
          </cell>
          <cell r="F563">
            <v>4.8486281142671022</v>
          </cell>
          <cell r="G563">
            <v>11.161305651766572</v>
          </cell>
          <cell r="H563">
            <v>19.477151131911679</v>
          </cell>
        </row>
        <row r="564">
          <cell r="B564" t="str">
            <v>ITOT-ESOLPV</v>
          </cell>
          <cell r="C564" t="str">
            <v>VAR_fin</v>
          </cell>
          <cell r="D564" t="str">
            <v>SOL</v>
          </cell>
          <cell r="E564">
            <v>3.517953999707534</v>
          </cell>
          <cell r="F564">
            <v>4.8486281142671022</v>
          </cell>
          <cell r="G564">
            <v>11.161305651766572</v>
          </cell>
          <cell r="H564">
            <v>19.477151131911679</v>
          </cell>
        </row>
        <row r="565">
          <cell r="B565" t="str">
            <v>ITOT-ESOLPV</v>
          </cell>
          <cell r="C565" t="str">
            <v>VAR_fin</v>
          </cell>
          <cell r="D565" t="str">
            <v>SOLPVC</v>
          </cell>
          <cell r="E565">
            <v>3.51795399970753</v>
          </cell>
          <cell r="F565">
            <v>4.8486281142671004</v>
          </cell>
          <cell r="G565">
            <v>11.1613056517666</v>
          </cell>
          <cell r="H565">
            <v>19.4771511319117</v>
          </cell>
        </row>
        <row r="566">
          <cell r="B566" t="str">
            <v>ITOT-ESOLPV</v>
          </cell>
          <cell r="C566" t="str">
            <v>VAR_ncap</v>
          </cell>
          <cell r="D566" t="str">
            <v>-</v>
          </cell>
          <cell r="F566">
            <v>2.0099865908369601E-6</v>
          </cell>
          <cell r="G566">
            <v>1.76790967767338</v>
          </cell>
          <cell r="H566">
            <v>2.1224874166294101</v>
          </cell>
        </row>
        <row r="567">
          <cell r="B567" t="str">
            <v>ITOT-ESOLPV</v>
          </cell>
          <cell r="C567" t="str">
            <v>VAR_cap</v>
          </cell>
          <cell r="D567" t="str">
            <v>-</v>
          </cell>
          <cell r="E567">
            <v>1.1186210000000001</v>
          </cell>
          <cell r="F567">
            <v>1.652929024573641</v>
          </cell>
          <cell r="G567">
            <v>3.56113268765997</v>
          </cell>
          <cell r="H567">
            <v>5.6147042074852802</v>
          </cell>
        </row>
        <row r="568">
          <cell r="B568" t="str">
            <v>RHNS-CHPNGA</v>
          </cell>
          <cell r="C568" t="str">
            <v>VAR_fout</v>
          </cell>
          <cell r="D568" t="str">
            <v>CO2_R</v>
          </cell>
          <cell r="F568">
            <v>0.693017293254791</v>
          </cell>
          <cell r="G568">
            <v>3.7135303848319898</v>
          </cell>
        </row>
        <row r="569">
          <cell r="B569" t="str">
            <v>RHNS-CHPNGA</v>
          </cell>
          <cell r="C569" t="str">
            <v>VAR_fout</v>
          </cell>
          <cell r="D569" t="str">
            <v>RHNS_LTH_CHPNGA</v>
          </cell>
          <cell r="F569">
            <v>6.7622707762953239E-3</v>
          </cell>
          <cell r="G569">
            <v>1.1414786229301949E-2</v>
          </cell>
        </row>
        <row r="570">
          <cell r="B570" t="str">
            <v>RHNS-CHPNGA</v>
          </cell>
          <cell r="C570" t="str">
            <v>VAR_fout</v>
          </cell>
          <cell r="D570" t="str">
            <v>RHNS_NKEV_GAS_ELC_CHP</v>
          </cell>
          <cell r="F570">
            <v>2.8376313870333348E-3</v>
          </cell>
          <cell r="G570">
            <v>4.8644748530734302E-3</v>
          </cell>
        </row>
        <row r="571">
          <cell r="B571" t="str">
            <v>RHNS-CHPNGA</v>
          </cell>
          <cell r="C571" t="str">
            <v>VAR_fin</v>
          </cell>
          <cell r="D571" t="str">
            <v>RNGA</v>
          </cell>
          <cell r="F571">
            <v>1.228754066054594E-2</v>
          </cell>
          <cell r="G571">
            <v>6.5842737319716266E-2</v>
          </cell>
        </row>
        <row r="572">
          <cell r="B572" t="str">
            <v>RHNS-CHPNGA</v>
          </cell>
          <cell r="C572" t="str">
            <v>VAR_ncap</v>
          </cell>
          <cell r="D572" t="str">
            <v>-</v>
          </cell>
          <cell r="F572">
            <v>8.1944519475969202E-4</v>
          </cell>
        </row>
        <row r="573">
          <cell r="B573" t="str">
            <v>RHNS-CHPNGA</v>
          </cell>
          <cell r="C573" t="str">
            <v>VAR_cap</v>
          </cell>
          <cell r="D573" t="str">
            <v>-</v>
          </cell>
          <cell r="F573">
            <v>8.1944519475969202E-4</v>
          </cell>
          <cell r="G573">
            <v>8.1936981760555078E-4</v>
          </cell>
          <cell r="H573">
            <v>8.1845212527702769E-4</v>
          </cell>
        </row>
        <row r="574">
          <cell r="B574" t="str">
            <v>ENUC_BEZ</v>
          </cell>
          <cell r="C574" t="str">
            <v>VAR_fout</v>
          </cell>
          <cell r="D574" t="str">
            <v>ELC</v>
          </cell>
          <cell r="E574">
            <v>20.224825435548158</v>
          </cell>
          <cell r="F574">
            <v>20.224546329288522</v>
          </cell>
          <cell r="G574">
            <v>13.566215158609351</v>
          </cell>
          <cell r="H574">
            <v>7.3988410261024553</v>
          </cell>
        </row>
        <row r="575">
          <cell r="B575" t="str">
            <v>ENUC_BEZ</v>
          </cell>
          <cell r="C575" t="str">
            <v>VAR_fin</v>
          </cell>
          <cell r="D575" t="str">
            <v>URN</v>
          </cell>
          <cell r="E575">
            <v>60.972171706140479</v>
          </cell>
          <cell r="F575">
            <v>60.971330279110965</v>
          </cell>
          <cell r="G575">
            <v>40.898330751439516</v>
          </cell>
          <cell r="H575">
            <v>22.305428885286606</v>
          </cell>
        </row>
        <row r="576">
          <cell r="B576" t="str">
            <v>ENUC_BEZ</v>
          </cell>
          <cell r="C576" t="str">
            <v>VAR_cap</v>
          </cell>
          <cell r="D576" t="str">
            <v>-</v>
          </cell>
          <cell r="E576">
            <v>0.72999936923762698</v>
          </cell>
          <cell r="F576">
            <v>0.72999495896604605</v>
          </cell>
          <cell r="G576">
            <v>0.48967780183493492</v>
          </cell>
          <cell r="H576">
            <v>0.26706591318493578</v>
          </cell>
        </row>
        <row r="577">
          <cell r="B577" t="str">
            <v>RHNM-CHPWOD</v>
          </cell>
          <cell r="C577" t="str">
            <v>VAR_ncap</v>
          </cell>
          <cell r="D577" t="str">
            <v>-</v>
          </cell>
          <cell r="H577">
            <v>1.2309834003820799E-4</v>
          </cell>
        </row>
        <row r="578">
          <cell r="B578" t="str">
            <v>RHNM-CHPWOD</v>
          </cell>
          <cell r="C578" t="str">
            <v>VAR_cap</v>
          </cell>
          <cell r="D578" t="str">
            <v>-</v>
          </cell>
          <cell r="H578">
            <v>1.2309834003820799E-4</v>
          </cell>
        </row>
        <row r="579">
          <cell r="B579" t="str">
            <v>RHNM-SHSTG-CHPNGA</v>
          </cell>
          <cell r="C579" t="str">
            <v>VAR_fout</v>
          </cell>
          <cell r="D579" t="str">
            <v>AUX_RNM-CHPNGA_OUT</v>
          </cell>
          <cell r="E579">
            <v>3.9056059625537857E-3</v>
          </cell>
          <cell r="F579">
            <v>5.9457915194215073E-3</v>
          </cell>
          <cell r="G579">
            <v>3.3695645132567981E-2</v>
          </cell>
          <cell r="H579">
            <v>2.0738225255054459E-3</v>
          </cell>
        </row>
        <row r="580">
          <cell r="B580" t="str">
            <v>RHNM-SHSTG-CHPNGA</v>
          </cell>
          <cell r="C580" t="str">
            <v>VAR_fout</v>
          </cell>
          <cell r="D580" t="str">
            <v>RHNM_LTH_CHPNGA</v>
          </cell>
          <cell r="E580">
            <v>3.9056059625537745E-3</v>
          </cell>
          <cell r="F580">
            <v>5.9497553804344471E-3</v>
          </cell>
          <cell r="G580">
            <v>3.373074476291435E-2</v>
          </cell>
          <cell r="H580">
            <v>2.0738225255054459E-3</v>
          </cell>
        </row>
        <row r="581">
          <cell r="B581" t="str">
            <v>RHNM-SHSTG-CHPNGA</v>
          </cell>
          <cell r="C581" t="str">
            <v>VAR_fin</v>
          </cell>
          <cell r="D581" t="str">
            <v>AUX_RNM-CHPNGA_IN</v>
          </cell>
          <cell r="E581">
            <v>2.9730319000925384E-3</v>
          </cell>
          <cell r="F581">
            <v>7.8344443617102393E-3</v>
          </cell>
          <cell r="G581">
            <v>4.3575911380758559E-2</v>
          </cell>
          <cell r="H581">
            <v>1.6226877489335159E-3</v>
          </cell>
        </row>
        <row r="582">
          <cell r="B582" t="str">
            <v>RHNM-SHSTG-CHPNGA</v>
          </cell>
          <cell r="C582" t="str">
            <v>VAR_fin</v>
          </cell>
          <cell r="D582" t="str">
            <v>RHNM_LTH_CHPNGA</v>
          </cell>
          <cell r="E582">
            <v>2.9730319000925384E-3</v>
          </cell>
          <cell r="F582">
            <v>7.8344443617102393E-3</v>
          </cell>
          <cell r="G582">
            <v>4.3575911380758559E-2</v>
          </cell>
          <cell r="H582">
            <v>1.6226877489335159E-3</v>
          </cell>
        </row>
        <row r="583">
          <cell r="B583" t="str">
            <v>RHNM-SHSTG-CHPNGA</v>
          </cell>
          <cell r="C583" t="str">
            <v>VAR_ncap</v>
          </cell>
          <cell r="D583" t="str">
            <v>-</v>
          </cell>
          <cell r="E583">
            <v>5.5193987800917901E-2</v>
          </cell>
          <cell r="F583">
            <v>1.9909067828594801E-3</v>
          </cell>
          <cell r="G583">
            <v>1.0182548413253301E-3</v>
          </cell>
          <cell r="H583">
            <v>4.9472694493353498E-4</v>
          </cell>
        </row>
        <row r="584">
          <cell r="B584" t="str">
            <v>RHNM-SHSTG-CHPNGA</v>
          </cell>
          <cell r="C584" t="str">
            <v>VAR_cap</v>
          </cell>
          <cell r="D584" t="str">
            <v>-</v>
          </cell>
          <cell r="E584">
            <v>5.5193987800917901E-2</v>
          </cell>
          <cell r="F584">
            <v>5.7084225168616651E-2</v>
          </cell>
          <cell r="G584">
            <v>5.7731645915013258E-2</v>
          </cell>
          <cell r="H584">
            <v>5.5565768723573321E-2</v>
          </cell>
        </row>
        <row r="585">
          <cell r="B585" t="str">
            <v>CT_CWODBDS</v>
          </cell>
          <cell r="C585" t="str">
            <v>VAR_fout</v>
          </cell>
          <cell r="D585" t="str">
            <v>BDS</v>
          </cell>
          <cell r="E585">
            <v>0.13920514596278311</v>
          </cell>
          <cell r="F585">
            <v>1.2028627611103246</v>
          </cell>
          <cell r="G585">
            <v>1.2012468494261463</v>
          </cell>
          <cell r="H585">
            <v>2.0055232869130191E-2</v>
          </cell>
        </row>
        <row r="586">
          <cell r="B586" t="str">
            <v>CT_CWODBDS</v>
          </cell>
          <cell r="C586" t="str">
            <v>VAR_fout</v>
          </cell>
          <cell r="D586" t="str">
            <v>LTH</v>
          </cell>
          <cell r="E586">
            <v>5.429000692548535E-2</v>
          </cell>
          <cell r="F586">
            <v>0.46911647683302599</v>
          </cell>
          <cell r="G586">
            <v>0.46848627127619663</v>
          </cell>
          <cell r="H586">
            <v>7.8215408189607639E-3</v>
          </cell>
        </row>
        <row r="587">
          <cell r="B587" t="str">
            <v>CT_CWODBDS</v>
          </cell>
          <cell r="C587" t="str">
            <v>VAR_fin</v>
          </cell>
          <cell r="D587" t="str">
            <v>CWOD</v>
          </cell>
          <cell r="E587">
            <v>0.39666506342095031</v>
          </cell>
          <cell r="F587">
            <v>3.4275574377838676</v>
          </cell>
          <cell r="G587">
            <v>3.4229528974398034</v>
          </cell>
          <cell r="H587">
            <v>5.7147386060586461E-2</v>
          </cell>
        </row>
        <row r="588">
          <cell r="B588" t="str">
            <v>CT_CWODBDS</v>
          </cell>
          <cell r="C588" t="str">
            <v>VAR_fin</v>
          </cell>
          <cell r="D588" t="str">
            <v>CELC</v>
          </cell>
          <cell r="E588">
            <v>9.6747576444134228E-3</v>
          </cell>
          <cell r="F588">
            <v>8.3598961897167479E-2</v>
          </cell>
          <cell r="G588">
            <v>8.3486656035117041E-2</v>
          </cell>
          <cell r="H588">
            <v>1.3938386844045481E-3</v>
          </cell>
        </row>
        <row r="589">
          <cell r="B589" t="str">
            <v>CT_CWODBDS</v>
          </cell>
          <cell r="C589" t="str">
            <v>VAR_ncap</v>
          </cell>
          <cell r="D589" t="str">
            <v>-</v>
          </cell>
          <cell r="E589">
            <v>1.5317256403648201E-5</v>
          </cell>
          <cell r="F589">
            <v>4.8524294647227398E-6</v>
          </cell>
          <cell r="G589">
            <v>2.0768275224184099E-5</v>
          </cell>
          <cell r="H589">
            <v>7.6793403797711493E-6</v>
          </cell>
        </row>
        <row r="590">
          <cell r="B590" t="str">
            <v>CT_CWODBDS</v>
          </cell>
          <cell r="C590" t="str">
            <v>VAR_cap</v>
          </cell>
          <cell r="D590" t="str">
            <v>-</v>
          </cell>
          <cell r="E590">
            <v>6.2414620691383371E-2</v>
          </cell>
          <cell r="F590">
            <v>6.2409584697077226E-2</v>
          </cell>
          <cell r="G590">
            <v>6.2309309925621462E-2</v>
          </cell>
          <cell r="H590">
            <v>1.5724493680443277E-3</v>
          </cell>
        </row>
        <row r="591">
          <cell r="B591" t="str">
            <v>RHNS-EBAT</v>
          </cell>
          <cell r="C591" t="str">
            <v>VAR_fout</v>
          </cell>
          <cell r="D591" t="str">
            <v>RHNS_ELC</v>
          </cell>
          <cell r="E591">
            <v>2.5626986746444574E-2</v>
          </cell>
          <cell r="F591">
            <v>2.5690899291793832E-2</v>
          </cell>
          <cell r="G591">
            <v>0.14283220307770636</v>
          </cell>
          <cell r="H591">
            <v>0.40899024431534775</v>
          </cell>
        </row>
        <row r="592">
          <cell r="B592" t="str">
            <v>RHNS-EBAT</v>
          </cell>
          <cell r="C592" t="str">
            <v>VAR_fout</v>
          </cell>
          <cell r="D592" t="str">
            <v>AUX_RHNS-EBAT_OUT</v>
          </cell>
          <cell r="E592">
            <v>2.5626986746444601E-2</v>
          </cell>
          <cell r="F592">
            <v>2.5690899291793853E-2</v>
          </cell>
          <cell r="G592">
            <v>0.14283220307770658</v>
          </cell>
          <cell r="H592">
            <v>0.40899024431534797</v>
          </cell>
        </row>
        <row r="593">
          <cell r="B593" t="str">
            <v>RHNS-EBAT</v>
          </cell>
          <cell r="C593" t="str">
            <v>VAR_fin</v>
          </cell>
          <cell r="D593" t="str">
            <v>RHNS_ELC</v>
          </cell>
          <cell r="E593">
            <v>2.8456359704548351E-2</v>
          </cell>
          <cell r="F593">
            <v>2.8514309579530592E-2</v>
          </cell>
          <cell r="G593">
            <v>0.1579707069950162</v>
          </cell>
          <cell r="H593">
            <v>0.45230207593171767</v>
          </cell>
        </row>
        <row r="594">
          <cell r="B594" t="str">
            <v>RHNS-EBAT</v>
          </cell>
          <cell r="C594" t="str">
            <v>VAR_fin</v>
          </cell>
          <cell r="D594" t="str">
            <v>AUX_RHNS-EBAT_IN</v>
          </cell>
          <cell r="E594">
            <v>2.8456359704548351E-2</v>
          </cell>
          <cell r="F594">
            <v>2.8514309579530592E-2</v>
          </cell>
          <cell r="G594">
            <v>0.1579707069950162</v>
          </cell>
          <cell r="H594">
            <v>0.45230207593171767</v>
          </cell>
        </row>
        <row r="595">
          <cell r="B595" t="str">
            <v>RHNS-EBAT</v>
          </cell>
          <cell r="C595" t="str">
            <v>VAR_ncap</v>
          </cell>
          <cell r="D595" t="str">
            <v>-</v>
          </cell>
          <cell r="E595">
            <v>1.05880932235865E-2</v>
          </cell>
          <cell r="F595">
            <v>2.1620006733737299E-5</v>
          </cell>
          <cell r="G595">
            <v>6.5961929170929107E-2</v>
          </cell>
          <cell r="H595">
            <v>9.3813264764814802E-2</v>
          </cell>
        </row>
        <row r="596">
          <cell r="B596" t="str">
            <v>RHNS-EBAT</v>
          </cell>
          <cell r="C596" t="str">
            <v>VAR_cap</v>
          </cell>
          <cell r="D596" t="str">
            <v>-</v>
          </cell>
          <cell r="E596">
            <v>1.0590198734133891E-2</v>
          </cell>
          <cell r="F596">
            <v>1.0606440465077574E-2</v>
          </cell>
          <cell r="G596">
            <v>7.6558514931930888E-2</v>
          </cell>
          <cell r="H596">
            <v>0.16752439834944019</v>
          </cell>
        </row>
        <row r="597">
          <cell r="B597" t="str">
            <v>G-INTC-EXP00-AT</v>
          </cell>
          <cell r="C597" t="str">
            <v>VAR_fout</v>
          </cell>
          <cell r="D597" t="str">
            <v>ELC_E-AT</v>
          </cell>
          <cell r="E597">
            <v>6.2296562858476987</v>
          </cell>
          <cell r="F597">
            <v>1.5931736788436374E-2</v>
          </cell>
          <cell r="G597">
            <v>2.0913411592458787E-2</v>
          </cell>
          <cell r="H597">
            <v>3.8060721036487187E-3</v>
          </cell>
        </row>
        <row r="598">
          <cell r="B598" t="str">
            <v>G-INTC-EXP00-AT</v>
          </cell>
          <cell r="C598" t="str">
            <v>VAR_fin</v>
          </cell>
          <cell r="D598" t="str">
            <v>ELC</v>
          </cell>
          <cell r="E598">
            <v>6.2296562858476987</v>
          </cell>
          <cell r="F598">
            <v>1.5931736788436374E-2</v>
          </cell>
          <cell r="G598">
            <v>2.0913411592458787E-2</v>
          </cell>
          <cell r="H598">
            <v>3.8060721036487187E-3</v>
          </cell>
        </row>
        <row r="599">
          <cell r="B599" t="str">
            <v>G-INTC-EXP00-AT</v>
          </cell>
          <cell r="C599" t="str">
            <v>VAR_ncap</v>
          </cell>
          <cell r="D599" t="str">
            <v>-</v>
          </cell>
          <cell r="E599">
            <v>2.3199192767342202E-5</v>
          </cell>
          <cell r="F599">
            <v>2.57349684696265E-5</v>
          </cell>
          <cell r="G599">
            <v>4.8132935711398399E-5</v>
          </cell>
          <cell r="H599">
            <v>3.1005336534215201E-5</v>
          </cell>
        </row>
        <row r="600">
          <cell r="B600" t="str">
            <v>G-INTC-EXP00-AT</v>
          </cell>
          <cell r="C600" t="str">
            <v>VAR_cap</v>
          </cell>
          <cell r="D600" t="str">
            <v>-</v>
          </cell>
          <cell r="E600">
            <v>0.25054161891014093</v>
          </cell>
          <cell r="F600">
            <v>9.680136813069895E-3</v>
          </cell>
          <cell r="G600">
            <v>9.54947133923989E-3</v>
          </cell>
          <cell r="H600">
            <v>9.5007772504103194E-3</v>
          </cell>
        </row>
        <row r="601">
          <cell r="B601" t="str">
            <v>G-INTC-IMP00-DE</v>
          </cell>
          <cell r="C601" t="str">
            <v>VAR_fout</v>
          </cell>
          <cell r="D601" t="str">
            <v>ELC</v>
          </cell>
          <cell r="E601">
            <v>46.3985156408202</v>
          </cell>
          <cell r="F601">
            <v>28.265630226990357</v>
          </cell>
          <cell r="G601">
            <v>23.333218548066622</v>
          </cell>
          <cell r="H601">
            <v>32.107053704417403</v>
          </cell>
        </row>
        <row r="602">
          <cell r="B602" t="str">
            <v>G-INTC-IMP00-DE</v>
          </cell>
          <cell r="C602" t="str">
            <v>VAR_fin</v>
          </cell>
          <cell r="D602" t="str">
            <v>ELC_I-DE</v>
          </cell>
          <cell r="E602">
            <v>46.3985156408202</v>
          </cell>
          <cell r="F602">
            <v>28.265630226990357</v>
          </cell>
          <cell r="G602">
            <v>23.333218548066622</v>
          </cell>
          <cell r="H602">
            <v>32.107053704417403</v>
          </cell>
        </row>
        <row r="603">
          <cell r="B603" t="str">
            <v>G-INTC-IMP00-DE</v>
          </cell>
          <cell r="C603" t="str">
            <v>VAR_ncap</v>
          </cell>
          <cell r="D603" t="str">
            <v>-</v>
          </cell>
          <cell r="E603">
            <v>3.3563640771879401E-5</v>
          </cell>
          <cell r="F603">
            <v>2.9490123997003201E-5</v>
          </cell>
          <cell r="G603">
            <v>3.5879279221236701E-5</v>
          </cell>
          <cell r="H603">
            <v>4.1808408458532402E-5</v>
          </cell>
        </row>
        <row r="604">
          <cell r="B604" t="str">
            <v>G-INTC-IMP00-DE</v>
          </cell>
          <cell r="C604" t="str">
            <v>VAR_cap</v>
          </cell>
          <cell r="D604" t="str">
            <v>-</v>
          </cell>
          <cell r="E604">
            <v>2.1429703146066901</v>
          </cell>
          <cell r="F604">
            <v>2.1409727207526501</v>
          </cell>
          <cell r="G604">
            <v>2.1408115064498503</v>
          </cell>
          <cell r="H604">
            <v>2.1407520302579668</v>
          </cell>
        </row>
        <row r="605">
          <cell r="B605" t="str">
            <v>RHEM-SHSTG-CHPWOD</v>
          </cell>
          <cell r="C605" t="str">
            <v>VAR_fout</v>
          </cell>
          <cell r="D605" t="str">
            <v>AUX_REM-CHPWOD_OUT</v>
          </cell>
          <cell r="E605">
            <v>3.9054481809102969E-3</v>
          </cell>
          <cell r="F605">
            <v>2.1301813033081794E-3</v>
          </cell>
          <cell r="G605">
            <v>1.1657336845527239E-3</v>
          </cell>
          <cell r="H605">
            <v>2.0737959937284409E-3</v>
          </cell>
        </row>
        <row r="606">
          <cell r="B606" t="str">
            <v>RHEM-SHSTG-CHPWOD</v>
          </cell>
          <cell r="C606" t="str">
            <v>VAR_fout</v>
          </cell>
          <cell r="D606" t="str">
            <v>RHEM_LTH_CHPWOD</v>
          </cell>
          <cell r="E606">
            <v>3.9054481809102874E-3</v>
          </cell>
          <cell r="F606">
            <v>2.1316014241770475E-3</v>
          </cell>
          <cell r="G606">
            <v>1.1669479904741317E-3</v>
          </cell>
          <cell r="H606">
            <v>2.0737959937284409E-3</v>
          </cell>
        </row>
        <row r="607">
          <cell r="B607" t="str">
            <v>RHEM-SHSTG-CHPWOD</v>
          </cell>
          <cell r="C607" t="str">
            <v>VAR_fin</v>
          </cell>
          <cell r="D607" t="str">
            <v>AUX_REM-CHPWOD_IN</v>
          </cell>
          <cell r="E607">
            <v>2.972821524552631E-3</v>
          </cell>
          <cell r="F607">
            <v>1.5680201513993256E-3</v>
          </cell>
          <cell r="G607">
            <v>9.2539181328800705E-4</v>
          </cell>
          <cell r="H607">
            <v>1.6226539740501781E-3</v>
          </cell>
        </row>
        <row r="608">
          <cell r="B608" t="str">
            <v>RHEM-SHSTG-CHPWOD</v>
          </cell>
          <cell r="C608" t="str">
            <v>VAR_fin</v>
          </cell>
          <cell r="D608" t="str">
            <v>RHEM_LTH_CHPWOD</v>
          </cell>
          <cell r="E608">
            <v>2.972821524552631E-3</v>
          </cell>
          <cell r="F608">
            <v>1.5680201513993256E-3</v>
          </cell>
          <cell r="G608">
            <v>9.2539181328800705E-4</v>
          </cell>
          <cell r="H608">
            <v>1.6226539740501781E-3</v>
          </cell>
        </row>
        <row r="609">
          <cell r="B609" t="str">
            <v>RHEM-SHSTG-CHPWOD</v>
          </cell>
          <cell r="C609" t="str">
            <v>VAR_ncap</v>
          </cell>
          <cell r="D609" t="str">
            <v>-</v>
          </cell>
          <cell r="E609">
            <v>3.8323682551677798E-2</v>
          </cell>
          <cell r="F609">
            <v>9.5992135195716998E-4</v>
          </cell>
          <cell r="G609">
            <v>9.5894178819439695E-4</v>
          </cell>
          <cell r="H609">
            <v>6.8084826936904905E-4</v>
          </cell>
        </row>
        <row r="610">
          <cell r="B610" t="str">
            <v>RHEM-SHSTG-CHPWOD</v>
          </cell>
          <cell r="C610" t="str">
            <v>VAR_cap</v>
          </cell>
          <cell r="D610" t="str">
            <v>-</v>
          </cell>
          <cell r="E610">
            <v>3.8323682551677798E-2</v>
          </cell>
          <cell r="F610">
            <v>3.9153601989167688E-2</v>
          </cell>
          <cell r="G610">
            <v>3.9674672685921938E-2</v>
          </cell>
          <cell r="H610">
            <v>3.9442672628832269E-2</v>
          </cell>
        </row>
        <row r="611">
          <cell r="B611" t="str">
            <v>G-INTC-EXP00-FR</v>
          </cell>
          <cell r="C611" t="str">
            <v>VAR_fout</v>
          </cell>
          <cell r="D611" t="str">
            <v>ELC_E-FR</v>
          </cell>
          <cell r="E611">
            <v>12.753444394505104</v>
          </cell>
          <cell r="F611">
            <v>1.3559253697069708E-2</v>
          </cell>
          <cell r="G611">
            <v>1.4263996112231685E-2</v>
          </cell>
          <cell r="H611">
            <v>6.9464090622277999E-3</v>
          </cell>
        </row>
        <row r="612">
          <cell r="B612" t="str">
            <v>G-INTC-EXP00-FR</v>
          </cell>
          <cell r="C612" t="str">
            <v>VAR_fin</v>
          </cell>
          <cell r="D612" t="str">
            <v>ELC</v>
          </cell>
          <cell r="E612">
            <v>12.753444394505104</v>
          </cell>
          <cell r="F612">
            <v>1.3559253697069708E-2</v>
          </cell>
          <cell r="G612">
            <v>1.4263996112231685E-2</v>
          </cell>
          <cell r="H612">
            <v>6.9464090622277999E-3</v>
          </cell>
        </row>
        <row r="613">
          <cell r="B613" t="str">
            <v>G-INTC-EXP00-FR</v>
          </cell>
          <cell r="C613" t="str">
            <v>VAR_ncap</v>
          </cell>
          <cell r="D613" t="str">
            <v>-</v>
          </cell>
          <cell r="E613">
            <v>3.0503017133107002E-5</v>
          </cell>
          <cell r="F613">
            <v>2.69062636087893E-5</v>
          </cell>
          <cell r="G613">
            <v>4.9393620365216303E-5</v>
          </cell>
          <cell r="H613">
            <v>8.8588504146535805E-4</v>
          </cell>
        </row>
        <row r="614">
          <cell r="B614" t="str">
            <v>G-INTC-EXP00-FR</v>
          </cell>
          <cell r="C614" t="str">
            <v>VAR_cap</v>
          </cell>
          <cell r="D614" t="str">
            <v>-</v>
          </cell>
          <cell r="E614">
            <v>1.2998903917557967</v>
          </cell>
          <cell r="F614">
            <v>2.1275577114650002E-2</v>
          </cell>
          <cell r="G614">
            <v>2.1220686531170152E-2</v>
          </cell>
          <cell r="H614">
            <v>2.1188615974602421E-2</v>
          </cell>
        </row>
        <row r="615">
          <cell r="B615" t="str">
            <v>RHNM-EBAT</v>
          </cell>
          <cell r="C615" t="str">
            <v>VAR_fout</v>
          </cell>
          <cell r="D615" t="str">
            <v>RHNM_ELC</v>
          </cell>
          <cell r="E615">
            <v>2.3255840946931929E-2</v>
          </cell>
          <cell r="F615">
            <v>2.331568338757049E-2</v>
          </cell>
          <cell r="G615">
            <v>4.4670522325057908E-2</v>
          </cell>
          <cell r="H615">
            <v>4.5858800303196987E-2</v>
          </cell>
        </row>
        <row r="616">
          <cell r="B616" t="str">
            <v>RHNM-EBAT</v>
          </cell>
          <cell r="C616" t="str">
            <v>VAR_fout</v>
          </cell>
          <cell r="D616" t="str">
            <v>AUX_RHNM-EBAT_OUT</v>
          </cell>
          <cell r="E616">
            <v>2.3255840946931949E-2</v>
          </cell>
          <cell r="F616">
            <v>2.3315683387570518E-2</v>
          </cell>
          <cell r="G616">
            <v>4.4670522325057957E-2</v>
          </cell>
          <cell r="H616">
            <v>4.5858800303197049E-2</v>
          </cell>
        </row>
        <row r="617">
          <cell r="B617" t="str">
            <v>RHNM-EBAT</v>
          </cell>
          <cell r="C617" t="str">
            <v>VAR_fin</v>
          </cell>
          <cell r="D617" t="str">
            <v>RHNM_ELC</v>
          </cell>
          <cell r="E617">
            <v>2.5834193037824818E-2</v>
          </cell>
          <cell r="F617">
            <v>2.5887641927292388E-2</v>
          </cell>
          <cell r="G617">
            <v>4.9417058574872857E-2</v>
          </cell>
          <cell r="H617">
            <v>5.0727795546664442E-2</v>
          </cell>
        </row>
        <row r="618">
          <cell r="B618" t="str">
            <v>RHNM-EBAT</v>
          </cell>
          <cell r="C618" t="str">
            <v>VAR_fin</v>
          </cell>
          <cell r="D618" t="str">
            <v>AUX_RHNM-EBAT_IN</v>
          </cell>
          <cell r="E618">
            <v>2.5834193037824818E-2</v>
          </cell>
          <cell r="F618">
            <v>2.5887641927292388E-2</v>
          </cell>
          <cell r="G618">
            <v>4.9417058574872857E-2</v>
          </cell>
          <cell r="H618">
            <v>5.0727795546664442E-2</v>
          </cell>
        </row>
        <row r="619">
          <cell r="B619" t="str">
            <v>RHNM-EBAT</v>
          </cell>
          <cell r="C619" t="str">
            <v>VAR_ncap</v>
          </cell>
          <cell r="D619" t="str">
            <v>-</v>
          </cell>
          <cell r="E619">
            <v>9.5987165957651093E-3</v>
          </cell>
          <cell r="F619">
            <v>1.7474198470808201E-5</v>
          </cell>
          <cell r="G619">
            <v>8.7641741502133708E-3</v>
          </cell>
          <cell r="H619">
            <v>2.98465487247449E-3</v>
          </cell>
        </row>
        <row r="620">
          <cell r="B620" t="str">
            <v>RHNM-EBAT</v>
          </cell>
          <cell r="C620" t="str">
            <v>VAR_cap</v>
          </cell>
          <cell r="D620" t="str">
            <v>-</v>
          </cell>
          <cell r="E620">
            <v>9.60082019317904E-3</v>
          </cell>
          <cell r="F620">
            <v>9.6128173699019624E-3</v>
          </cell>
          <cell r="G620">
            <v>1.8364964742929427E-2</v>
          </cell>
          <cell r="H620">
            <v>1.8769142708727607E-2</v>
          </cell>
        </row>
        <row r="621">
          <cell r="B621" t="str">
            <v>ITOT-CHPWST</v>
          </cell>
          <cell r="C621" t="str">
            <v>VAR_fout</v>
          </cell>
          <cell r="D621" t="str">
            <v>ITOT_LTH_CHP</v>
          </cell>
          <cell r="E621">
            <v>1.9356600170775753</v>
          </cell>
          <cell r="F621">
            <v>1.9671878820404487</v>
          </cell>
          <cell r="G621">
            <v>9.6382372040252254E-2</v>
          </cell>
          <cell r="H621">
            <v>9.748796287784349E-2</v>
          </cell>
        </row>
        <row r="622">
          <cell r="B622" t="str">
            <v>ITOT-CHPWST</v>
          </cell>
          <cell r="C622" t="str">
            <v>VAR_fout</v>
          </cell>
          <cell r="D622" t="str">
            <v>ITOT_KEV_WST_ELC_CHP</v>
          </cell>
          <cell r="E622">
            <v>0.23014468712349984</v>
          </cell>
          <cell r="F622">
            <v>0.24358250636368389</v>
          </cell>
          <cell r="G622">
            <v>1.2725045049717524E-2</v>
          </cell>
          <cell r="H622">
            <v>1.446874655622681E-2</v>
          </cell>
        </row>
        <row r="623">
          <cell r="B623" t="str">
            <v>ITOT-CHPWST</v>
          </cell>
          <cell r="C623" t="str">
            <v>VAR_fout</v>
          </cell>
          <cell r="D623" t="str">
            <v>CO2_I</v>
          </cell>
          <cell r="E623">
            <v>344.47952911212599</v>
          </cell>
          <cell r="F623">
            <v>364.70545803169802</v>
          </cell>
          <cell r="G623">
            <v>19.054924548214</v>
          </cell>
          <cell r="H623">
            <v>21.666003763362099</v>
          </cell>
        </row>
        <row r="624">
          <cell r="B624" t="str">
            <v>ITOT-CHPWST</v>
          </cell>
          <cell r="C624" t="str">
            <v>VAR_fin</v>
          </cell>
          <cell r="D624" t="str">
            <v>IWST</v>
          </cell>
          <cell r="E624">
            <v>3.7120638912944655</v>
          </cell>
          <cell r="F624">
            <v>3.9300157115484753</v>
          </cell>
          <cell r="G624">
            <v>0.20533323866609896</v>
          </cell>
          <cell r="H624">
            <v>0.23346986813967852</v>
          </cell>
        </row>
        <row r="625">
          <cell r="B625" t="str">
            <v>ITOT-CHPWST</v>
          </cell>
          <cell r="C625" t="str">
            <v>VAR_ncap</v>
          </cell>
          <cell r="D625" t="str">
            <v>-</v>
          </cell>
          <cell r="F625">
            <v>6.5538495284263599E-6</v>
          </cell>
          <cell r="G625">
            <v>2.8977592202434901E-6</v>
          </cell>
          <cell r="H625">
            <v>1.1165389637362701E-5</v>
          </cell>
        </row>
        <row r="626">
          <cell r="B626" t="str">
            <v>ITOT-CHPWST</v>
          </cell>
          <cell r="C626" t="str">
            <v>VAR_cap</v>
          </cell>
          <cell r="D626" t="str">
            <v>-</v>
          </cell>
          <cell r="E626">
            <v>4.0001951834753802E-2</v>
          </cell>
          <cell r="F626">
            <v>1.0543202720331026E-2</v>
          </cell>
          <cell r="G626">
            <v>4.779181618425471E-3</v>
          </cell>
          <cell r="H626">
            <v>4.287235883088731E-3</v>
          </cell>
        </row>
        <row r="627">
          <cell r="B627" t="str">
            <v>CAES-EBAT</v>
          </cell>
          <cell r="C627" t="str">
            <v>VAR_fout</v>
          </cell>
          <cell r="D627" t="str">
            <v>ELC13</v>
          </cell>
          <cell r="E627">
            <v>9.9717135625453548E-2</v>
          </cell>
          <cell r="F627">
            <v>4.6896170324756133E-2</v>
          </cell>
          <cell r="G627">
            <v>6.7124356785342967E-2</v>
          </cell>
          <cell r="H627">
            <v>9.463092686678605E-2</v>
          </cell>
        </row>
        <row r="628">
          <cell r="B628" t="str">
            <v>CAES-EBAT</v>
          </cell>
          <cell r="C628" t="str">
            <v>VAR_fout</v>
          </cell>
          <cell r="D628" t="str">
            <v>AUX_CAES_OUT</v>
          </cell>
          <cell r="E628">
            <v>9.9717135625453451E-2</v>
          </cell>
          <cell r="F628">
            <v>4.6896170324756077E-2</v>
          </cell>
          <cell r="G628">
            <v>6.7124356785342898E-2</v>
          </cell>
          <cell r="H628">
            <v>9.4630926866785939E-2</v>
          </cell>
        </row>
        <row r="629">
          <cell r="B629" t="str">
            <v>CAES-EBAT</v>
          </cell>
          <cell r="C629" t="str">
            <v>VAR_fin</v>
          </cell>
          <cell r="D629" t="str">
            <v>ELC13</v>
          </cell>
          <cell r="E629">
            <v>0.14259270360686971</v>
          </cell>
          <cell r="F629">
            <v>6.7111088028825455E-2</v>
          </cell>
          <cell r="G629">
            <v>9.591150856597179E-2</v>
          </cell>
          <cell r="H629">
            <v>0.13523474292896367</v>
          </cell>
        </row>
        <row r="630">
          <cell r="B630" t="str">
            <v>CAES-EBAT</v>
          </cell>
          <cell r="C630" t="str">
            <v>VAR_fin</v>
          </cell>
          <cell r="D630" t="str">
            <v>AUX_CAES_IN</v>
          </cell>
          <cell r="E630">
            <v>0.14259270360686971</v>
          </cell>
          <cell r="F630">
            <v>6.7111088028825455E-2</v>
          </cell>
          <cell r="G630">
            <v>9.591150856597179E-2</v>
          </cell>
          <cell r="H630">
            <v>0.13523474292896367</v>
          </cell>
        </row>
        <row r="631">
          <cell r="B631" t="str">
            <v>CAES-EBAT</v>
          </cell>
          <cell r="C631" t="str">
            <v>VAR_ncap</v>
          </cell>
          <cell r="D631" t="str">
            <v>-</v>
          </cell>
          <cell r="F631">
            <v>9.8710089689859603E-6</v>
          </cell>
          <cell r="G631">
            <v>1.01942253928081E-5</v>
          </cell>
          <cell r="H631">
            <v>9.7242591239973706E-6</v>
          </cell>
        </row>
        <row r="632">
          <cell r="B632" t="str">
            <v>CAES-EBAT</v>
          </cell>
          <cell r="C632" t="str">
            <v>VAR_cap</v>
          </cell>
          <cell r="D632" t="str">
            <v>-</v>
          </cell>
          <cell r="E632">
            <v>0.1</v>
          </cell>
          <cell r="F632">
            <v>9.997276009901121E-2</v>
          </cell>
          <cell r="G632">
            <v>9.9969443633639521E-2</v>
          </cell>
          <cell r="H632">
            <v>9.997017813003288E-2</v>
          </cell>
        </row>
        <row r="633">
          <cell r="B633" t="str">
            <v>HPLSOL</v>
          </cell>
          <cell r="C633" t="str">
            <v>VAR_fout</v>
          </cell>
          <cell r="D633" t="str">
            <v>LTH</v>
          </cell>
          <cell r="H633">
            <v>1.2798217833901015E-3</v>
          </cell>
        </row>
        <row r="634">
          <cell r="B634" t="str">
            <v>HPLSOL</v>
          </cell>
          <cell r="C634" t="str">
            <v>VAR_fin</v>
          </cell>
          <cell r="D634" t="str">
            <v>SOL</v>
          </cell>
          <cell r="H634">
            <v>1.2798217833901015E-3</v>
          </cell>
        </row>
        <row r="635">
          <cell r="B635" t="str">
            <v>HPLSOL</v>
          </cell>
          <cell r="C635" t="str">
            <v>VAR_fin</v>
          </cell>
          <cell r="D635" t="str">
            <v>SOLPVC</v>
          </cell>
          <cell r="H635">
            <v>1.2798217833901E-3</v>
          </cell>
        </row>
        <row r="636">
          <cell r="B636" t="str">
            <v>HPLSOL</v>
          </cell>
          <cell r="C636" t="str">
            <v>VAR_ncap</v>
          </cell>
          <cell r="D636" t="str">
            <v>-</v>
          </cell>
          <cell r="H636">
            <v>2.64029368580119E-4</v>
          </cell>
        </row>
        <row r="637">
          <cell r="B637" t="str">
            <v>HPLSOL</v>
          </cell>
          <cell r="C637" t="str">
            <v>VAR_cap</v>
          </cell>
          <cell r="D637" t="str">
            <v>-</v>
          </cell>
          <cell r="H637">
            <v>2.64029368580119E-4</v>
          </cell>
        </row>
        <row r="638">
          <cell r="B638" t="str">
            <v>RHEM-CHPNGA</v>
          </cell>
          <cell r="C638" t="str">
            <v>VAR_fout</v>
          </cell>
          <cell r="D638" t="str">
            <v>CO2_R</v>
          </cell>
          <cell r="E638">
            <v>23.080205764433298</v>
          </cell>
          <cell r="F638">
            <v>2.3539809106699998</v>
          </cell>
          <cell r="G638">
            <v>7.79838475670996</v>
          </cell>
        </row>
        <row r="639">
          <cell r="B639" t="str">
            <v>RHEM-CHPNGA</v>
          </cell>
          <cell r="C639" t="str">
            <v>VAR_fout</v>
          </cell>
          <cell r="D639" t="str">
            <v>RHEM_LTH_CHPNGA</v>
          </cell>
          <cell r="E639">
            <v>0.11441667339215134</v>
          </cell>
          <cell r="F639">
            <v>2.4640826792749652E-2</v>
          </cell>
          <cell r="G639">
            <v>5.5667914655761805E-2</v>
          </cell>
        </row>
        <row r="640">
          <cell r="B640" t="str">
            <v>RHEM-CHPNGA</v>
          </cell>
          <cell r="C640" t="str">
            <v>VAR_fout</v>
          </cell>
          <cell r="D640" t="str">
            <v>RHEM_NKEV_GAS_ELC_CHP</v>
          </cell>
          <cell r="E640">
            <v>5.2667992513847454E-2</v>
          </cell>
          <cell r="F640">
            <v>1.1454113758117206E-2</v>
          </cell>
          <cell r="G640">
            <v>2.6264146285527507E-2</v>
          </cell>
        </row>
        <row r="641">
          <cell r="B641" t="str">
            <v>RHEM-CHPNGA</v>
          </cell>
          <cell r="C641" t="str">
            <v>VAR_fin</v>
          </cell>
          <cell r="D641" t="str">
            <v>RNGA</v>
          </cell>
          <cell r="E641">
            <v>0.40922350646158312</v>
          </cell>
          <cell r="F641">
            <v>4.173725018918438E-2</v>
          </cell>
          <cell r="G641">
            <v>0.13826923327499935</v>
          </cell>
        </row>
        <row r="642">
          <cell r="B642" t="str">
            <v>RHEM-CHPNGA</v>
          </cell>
          <cell r="C642" t="str">
            <v>VAR_ncap</v>
          </cell>
          <cell r="D642" t="str">
            <v>-</v>
          </cell>
          <cell r="F642">
            <v>3.2920601206146901E-6</v>
          </cell>
        </row>
        <row r="643">
          <cell r="B643" t="str">
            <v>RHEM-CHPNGA</v>
          </cell>
          <cell r="C643" t="str">
            <v>VAR_cap</v>
          </cell>
          <cell r="D643" t="str">
            <v>-</v>
          </cell>
          <cell r="E643">
            <v>1.2036453705936865E-2</v>
          </cell>
          <cell r="F643">
            <v>3.4184446638088764E-3</v>
          </cell>
          <cell r="G643">
            <v>3.354731753565706E-3</v>
          </cell>
          <cell r="H643">
            <v>2.0220461491545962E-3</v>
          </cell>
        </row>
        <row r="644">
          <cell r="B644" t="str">
            <v>D-DH2</v>
          </cell>
          <cell r="C644" t="str">
            <v>VAR_fout</v>
          </cell>
          <cell r="D644" t="str">
            <v>H2</v>
          </cell>
          <cell r="H644">
            <v>1.2990698181662011E-4</v>
          </cell>
        </row>
        <row r="645">
          <cell r="B645" t="str">
            <v>D-DH2</v>
          </cell>
          <cell r="C645" t="str">
            <v>VAR_fin</v>
          </cell>
          <cell r="D645" t="str">
            <v>H2_E</v>
          </cell>
          <cell r="H645">
            <v>1.3121917355214154E-4</v>
          </cell>
        </row>
        <row r="646">
          <cell r="B646" t="str">
            <v>D-DH2</v>
          </cell>
          <cell r="C646" t="str">
            <v>VAR_ncap</v>
          </cell>
          <cell r="D646" t="str">
            <v>-</v>
          </cell>
          <cell r="H646">
            <v>7.66403628444295E-4</v>
          </cell>
        </row>
        <row r="647">
          <cell r="B647" t="str">
            <v>D-DH2</v>
          </cell>
          <cell r="C647" t="str">
            <v>VAR_cap</v>
          </cell>
          <cell r="D647" t="str">
            <v>-</v>
          </cell>
          <cell r="H647">
            <v>7.66403628444295E-4</v>
          </cell>
        </row>
        <row r="648">
          <cell r="B648" t="str">
            <v>D-SBIO</v>
          </cell>
          <cell r="C648" t="str">
            <v>VAR_fout</v>
          </cell>
          <cell r="D648" t="str">
            <v>SBIO</v>
          </cell>
          <cell r="E648">
            <v>4.0479078015955148</v>
          </cell>
          <cell r="F648">
            <v>4.5874623138564417</v>
          </cell>
          <cell r="G648">
            <v>3.0613866770378437</v>
          </cell>
          <cell r="H648">
            <v>3.0405769708236456</v>
          </cell>
        </row>
        <row r="649">
          <cell r="B649" t="str">
            <v>D-SBIO</v>
          </cell>
          <cell r="C649" t="str">
            <v>VAR_fin</v>
          </cell>
          <cell r="D649" t="str">
            <v>BIO</v>
          </cell>
          <cell r="E649">
            <v>4.0479078015955148</v>
          </cell>
          <cell r="F649">
            <v>4.5874623138564417</v>
          </cell>
          <cell r="G649">
            <v>3.0613866770378437</v>
          </cell>
          <cell r="H649">
            <v>3.0405769708236456</v>
          </cell>
        </row>
        <row r="650">
          <cell r="B650" t="str">
            <v>SCOM-CHPBIO</v>
          </cell>
          <cell r="C650" t="str">
            <v>VAR_fout</v>
          </cell>
          <cell r="D650" t="str">
            <v>SCOM_LTH_CHPBIO</v>
          </cell>
          <cell r="E650">
            <v>1.4244197113477317</v>
          </cell>
          <cell r="F650">
            <v>1.5790260566022303</v>
          </cell>
          <cell r="G650">
            <v>1.4835438423017189</v>
          </cell>
          <cell r="H650">
            <v>1.3249726680492411</v>
          </cell>
        </row>
        <row r="651">
          <cell r="B651" t="str">
            <v>SCOM-CHPBIO</v>
          </cell>
          <cell r="C651" t="str">
            <v>VAR_fout</v>
          </cell>
          <cell r="D651" t="str">
            <v>SCOM_KEV_BIO_ELC_CHP</v>
          </cell>
          <cell r="E651">
            <v>0.95943960649442961</v>
          </cell>
          <cell r="F651">
            <v>1.1064357631516968</v>
          </cell>
          <cell r="G651">
            <v>1.1064075775951663</v>
          </cell>
          <cell r="H651">
            <v>1.1068242607460734</v>
          </cell>
        </row>
        <row r="652">
          <cell r="B652" t="str">
            <v>SCOM-CHPBIO</v>
          </cell>
          <cell r="C652" t="str">
            <v>VAR_fin</v>
          </cell>
          <cell r="D652" t="str">
            <v>SBIO</v>
          </cell>
          <cell r="E652">
            <v>2.6455257427952419</v>
          </cell>
          <cell r="F652">
            <v>3.0501497583617807</v>
          </cell>
          <cell r="G652">
            <v>3.0613866770378437</v>
          </cell>
          <cell r="H652">
            <v>3.0405769708236456</v>
          </cell>
        </row>
        <row r="653">
          <cell r="B653" t="str">
            <v>SCOM-CHPBIO</v>
          </cell>
          <cell r="C653" t="str">
            <v>VAR_ncap</v>
          </cell>
          <cell r="D653" t="str">
            <v>-</v>
          </cell>
          <cell r="F653">
            <v>2.6269355026159E-2</v>
          </cell>
          <cell r="G653">
            <v>6.6458896458788802E-3</v>
          </cell>
          <cell r="H653">
            <v>1.2345629759013E-2</v>
          </cell>
        </row>
        <row r="654">
          <cell r="B654" t="str">
            <v>SCOM-CHPBIO</v>
          </cell>
          <cell r="C654" t="str">
            <v>VAR_cap</v>
          </cell>
          <cell r="D654" t="str">
            <v>-</v>
          </cell>
          <cell r="E654">
            <v>7.3508874322882001E-2</v>
          </cell>
          <cell r="F654">
            <v>8.4809279494260148E-2</v>
          </cell>
          <cell r="G654">
            <v>8.4799500733820837E-2</v>
          </cell>
          <cell r="H654">
            <v>8.49347801261357E-2</v>
          </cell>
        </row>
        <row r="655">
          <cell r="B655" t="str">
            <v>SCOM-CHPHFC</v>
          </cell>
          <cell r="C655" t="str">
            <v>VAR_fout</v>
          </cell>
          <cell r="D655" t="str">
            <v>SCOM_KEV_HFC_ELC_CHP</v>
          </cell>
          <cell r="H655">
            <v>4.153084339351247E-2</v>
          </cell>
        </row>
        <row r="656">
          <cell r="B656" t="str">
            <v>SCOM-CHPHFC</v>
          </cell>
          <cell r="C656" t="str">
            <v>VAR_fout</v>
          </cell>
          <cell r="D656" t="str">
            <v>SCOM_LTH_CHPHFC</v>
          </cell>
          <cell r="H656">
            <v>3.125742423827519E-2</v>
          </cell>
        </row>
        <row r="657">
          <cell r="B657" t="str">
            <v>SCOM-CHPHFC</v>
          </cell>
          <cell r="C657" t="str">
            <v>VAR_fin</v>
          </cell>
          <cell r="D657" t="str">
            <v>RSH2</v>
          </cell>
          <cell r="H657">
            <v>8.7433354512657865E-2</v>
          </cell>
        </row>
        <row r="658">
          <cell r="B658" t="str">
            <v>SCOM-CHPHFC</v>
          </cell>
          <cell r="C658" t="str">
            <v>VAR_ncap</v>
          </cell>
          <cell r="D658" t="str">
            <v>-</v>
          </cell>
          <cell r="H658">
            <v>2.5823633226281801E-3</v>
          </cell>
        </row>
        <row r="659">
          <cell r="B659" t="str">
            <v>SCOM-CHPHFC</v>
          </cell>
          <cell r="C659" t="str">
            <v>VAR_cap</v>
          </cell>
          <cell r="D659" t="str">
            <v>-</v>
          </cell>
          <cell r="H659">
            <v>2.5823633226281801E-3</v>
          </cell>
        </row>
        <row r="660">
          <cell r="B660" t="str">
            <v>RHES-EBAT</v>
          </cell>
          <cell r="C660" t="str">
            <v>VAR_fout</v>
          </cell>
          <cell r="D660" t="str">
            <v>RHES_ELC</v>
          </cell>
          <cell r="E660">
            <v>2.5639332895894918E-2</v>
          </cell>
          <cell r="F660">
            <v>2.5701559750869827E-2</v>
          </cell>
          <cell r="G660">
            <v>0.143131270577526</v>
          </cell>
          <cell r="H660">
            <v>0.40764841554469172</v>
          </cell>
        </row>
        <row r="661">
          <cell r="B661" t="str">
            <v>RHES-EBAT</v>
          </cell>
          <cell r="C661" t="str">
            <v>VAR_fout</v>
          </cell>
          <cell r="D661" t="str">
            <v>AUX_RHES-EBAT_OUT</v>
          </cell>
          <cell r="E661">
            <v>2.5639332895894946E-2</v>
          </cell>
          <cell r="F661">
            <v>2.5701559750869855E-2</v>
          </cell>
          <cell r="G661">
            <v>0.14313127057752625</v>
          </cell>
          <cell r="H661">
            <v>0.40764841554469211</v>
          </cell>
        </row>
        <row r="662">
          <cell r="B662" t="str">
            <v>RHES-EBAT</v>
          </cell>
          <cell r="C662" t="str">
            <v>VAR_fin</v>
          </cell>
          <cell r="D662" t="str">
            <v>RHES_ELC</v>
          </cell>
          <cell r="E662">
            <v>2.8470012876598613E-2</v>
          </cell>
          <cell r="F662">
            <v>2.8526098605937182E-2</v>
          </cell>
          <cell r="G662">
            <v>0.15830143520096032</v>
          </cell>
          <cell r="H662">
            <v>0.45081819473150281</v>
          </cell>
        </row>
        <row r="663">
          <cell r="B663" t="str">
            <v>RHES-EBAT</v>
          </cell>
          <cell r="C663" t="str">
            <v>VAR_fin</v>
          </cell>
          <cell r="D663" t="str">
            <v>AUX_RHES-EBAT_IN</v>
          </cell>
          <cell r="E663">
            <v>2.8470012876598613E-2</v>
          </cell>
          <cell r="F663">
            <v>2.8526098605937182E-2</v>
          </cell>
          <cell r="G663">
            <v>0.15830143520096032</v>
          </cell>
          <cell r="H663">
            <v>0.45081819473150281</v>
          </cell>
        </row>
        <row r="664">
          <cell r="B664" t="str">
            <v>RHES-EBAT</v>
          </cell>
          <cell r="C664" t="str">
            <v>VAR_ncap</v>
          </cell>
          <cell r="D664" t="str">
            <v>-</v>
          </cell>
          <cell r="E664">
            <v>1.0592596248740699E-2</v>
          </cell>
          <cell r="F664">
            <v>2.1619630692106001E-5</v>
          </cell>
          <cell r="G664">
            <v>6.6132929504846394E-2</v>
          </cell>
          <cell r="H664">
            <v>9.3089377740268001E-2</v>
          </cell>
        </row>
        <row r="665">
          <cell r="B665" t="str">
            <v>RHES-EBAT</v>
          </cell>
          <cell r="C665" t="str">
            <v>VAR_cap</v>
          </cell>
          <cell r="D665" t="str">
            <v>-</v>
          </cell>
          <cell r="E665">
            <v>1.0594701737980439E-2</v>
          </cell>
          <cell r="F665">
            <v>1.0610940962960771E-2</v>
          </cell>
          <cell r="G665">
            <v>7.6734021369247937E-2</v>
          </cell>
          <cell r="H665">
            <v>0.16697480735580122</v>
          </cell>
        </row>
        <row r="666">
          <cell r="B666" t="str">
            <v>D-INGA</v>
          </cell>
          <cell r="C666" t="str">
            <v>VAR_fout</v>
          </cell>
          <cell r="D666" t="str">
            <v>CO2</v>
          </cell>
          <cell r="E666">
            <v>2112.5202690565902</v>
          </cell>
          <cell r="F666">
            <v>1841.5167163055601</v>
          </cell>
          <cell r="G666">
            <v>1915.4340317082499</v>
          </cell>
          <cell r="H666">
            <v>1172.48043042719</v>
          </cell>
        </row>
        <row r="667">
          <cell r="B667" t="str">
            <v>D-INGA</v>
          </cell>
          <cell r="C667" t="str">
            <v>VAR_fout</v>
          </cell>
          <cell r="D667" t="str">
            <v>IH2</v>
          </cell>
        </row>
        <row r="668">
          <cell r="B668" t="str">
            <v>D-INGA</v>
          </cell>
          <cell r="C668" t="str">
            <v>VAR_fout</v>
          </cell>
          <cell r="D668" t="str">
            <v>INGA</v>
          </cell>
          <cell r="E668">
            <v>37.653615154402253</v>
          </cell>
          <cell r="F668">
            <v>32.548930473134021</v>
          </cell>
          <cell r="G668">
            <v>36.221152998557265</v>
          </cell>
          <cell r="H668">
            <v>23.088687101288528</v>
          </cell>
        </row>
        <row r="669">
          <cell r="B669" t="str">
            <v>D-INGA</v>
          </cell>
          <cell r="C669" t="str">
            <v>VAR_fin</v>
          </cell>
          <cell r="D669" t="str">
            <v>NGA</v>
          </cell>
          <cell r="E669">
            <v>37.456033139301184</v>
          </cell>
          <cell r="F669">
            <v>32.651005608254586</v>
          </cell>
          <cell r="G669">
            <v>33.961596306883877</v>
          </cell>
          <cell r="H669">
            <v>20.788660113957238</v>
          </cell>
        </row>
        <row r="670">
          <cell r="B670" t="str">
            <v>D-INGA</v>
          </cell>
          <cell r="C670" t="str">
            <v>VAR_fin</v>
          </cell>
          <cell r="D670" t="str">
            <v>BNGA</v>
          </cell>
          <cell r="E670">
            <v>0.31787099163468469</v>
          </cell>
          <cell r="F670">
            <v>3.424517107988538E-3</v>
          </cell>
          <cell r="G670">
            <v>2.3752694965447527</v>
          </cell>
          <cell r="H670">
            <v>2.3755356612297041</v>
          </cell>
        </row>
        <row r="671">
          <cell r="B671" t="str">
            <v>D-INGA</v>
          </cell>
          <cell r="C671" t="str">
            <v>VAR_fin</v>
          </cell>
          <cell r="D671" t="str">
            <v>H2</v>
          </cell>
        </row>
        <row r="672">
          <cell r="B672" t="str">
            <v>D-INGA</v>
          </cell>
          <cell r="C672" t="str">
            <v>VAR_ncap</v>
          </cell>
          <cell r="D672" t="str">
            <v>-</v>
          </cell>
          <cell r="E672">
            <v>5.5158831164173697E-5</v>
          </cell>
          <cell r="F672">
            <v>1.23665487383722E-5</v>
          </cell>
          <cell r="G672">
            <v>1.49201713848045E-5</v>
          </cell>
          <cell r="H672">
            <v>1.96324156417171E-5</v>
          </cell>
        </row>
        <row r="673">
          <cell r="B673" t="str">
            <v>D-INGA</v>
          </cell>
          <cell r="C673" t="str">
            <v>VAR_cap</v>
          </cell>
          <cell r="D673" t="str">
            <v>-</v>
          </cell>
          <cell r="E673">
            <v>1.9845385290972641</v>
          </cell>
          <cell r="F673">
            <v>1.9845508956460025</v>
          </cell>
          <cell r="G673">
            <v>1.9845658158173873</v>
          </cell>
          <cell r="H673">
            <v>1.984585448233029</v>
          </cell>
        </row>
        <row r="674">
          <cell r="B674" t="str">
            <v>EWIND</v>
          </cell>
          <cell r="C674" t="str">
            <v>VAR_fout</v>
          </cell>
          <cell r="D674" t="str">
            <v>ELC35</v>
          </cell>
          <cell r="E674">
            <v>0.52400000000000047</v>
          </cell>
          <cell r="F674">
            <v>0.54530775595618142</v>
          </cell>
          <cell r="G674">
            <v>0.50318035428973074</v>
          </cell>
          <cell r="H674">
            <v>2.0503052471689203</v>
          </cell>
        </row>
        <row r="675">
          <cell r="B675" t="str">
            <v>EWIND</v>
          </cell>
          <cell r="C675" t="str">
            <v>VAR_fin</v>
          </cell>
          <cell r="D675" t="str">
            <v>WND</v>
          </cell>
          <cell r="E675">
            <v>0.52400000000000047</v>
          </cell>
          <cell r="F675">
            <v>0.54530775595618142</v>
          </cell>
          <cell r="G675">
            <v>0.50318035428973074</v>
          </cell>
          <cell r="H675">
            <v>2.0503052471689203</v>
          </cell>
        </row>
        <row r="676">
          <cell r="B676" t="str">
            <v>EWIND</v>
          </cell>
          <cell r="C676" t="str">
            <v>VAR_ncap</v>
          </cell>
          <cell r="D676" t="str">
            <v>-</v>
          </cell>
          <cell r="F676">
            <v>7.1347297093900097E-3</v>
          </cell>
          <cell r="G676">
            <v>0.29201248831448601</v>
          </cell>
          <cell r="H676">
            <v>0.28589390713535401</v>
          </cell>
        </row>
        <row r="677">
          <cell r="B677" t="str">
            <v>EWIND</v>
          </cell>
          <cell r="C677" t="str">
            <v>VAR_cap</v>
          </cell>
          <cell r="D677" t="str">
            <v>-</v>
          </cell>
          <cell r="E677">
            <v>8.7120000000000003E-2</v>
          </cell>
          <cell r="F677">
            <v>9.0662617745997209E-2</v>
          </cell>
          <cell r="G677">
            <v>8.365853523992621E-2</v>
          </cell>
          <cell r="H677">
            <v>0.34088408587087532</v>
          </cell>
        </row>
        <row r="678">
          <cell r="B678" t="str">
            <v>EGEO</v>
          </cell>
          <cell r="C678" t="str">
            <v>VAR_fout</v>
          </cell>
          <cell r="D678" t="str">
            <v>ELC35</v>
          </cell>
        </row>
        <row r="679">
          <cell r="B679" t="str">
            <v>EGEO</v>
          </cell>
          <cell r="C679" t="str">
            <v>VAR_fin</v>
          </cell>
          <cell r="D679" t="str">
            <v>GEO</v>
          </cell>
        </row>
        <row r="680">
          <cell r="B680" t="str">
            <v>EGEO</v>
          </cell>
          <cell r="C680" t="str">
            <v>VAR_ncap</v>
          </cell>
          <cell r="D680" t="str">
            <v>-</v>
          </cell>
        </row>
        <row r="681">
          <cell r="B681" t="str">
            <v>EGEO</v>
          </cell>
          <cell r="C681" t="str">
            <v>VAR_cap</v>
          </cell>
          <cell r="D681" t="str">
            <v>-</v>
          </cell>
        </row>
        <row r="682">
          <cell r="B682" t="str">
            <v>D-SPLT</v>
          </cell>
          <cell r="C682" t="str">
            <v>VAR_fout</v>
          </cell>
          <cell r="D682" t="str">
            <v>SPLT</v>
          </cell>
          <cell r="E682">
            <v>2.085722942349133</v>
          </cell>
          <cell r="F682">
            <v>2.4001397450892603</v>
          </cell>
          <cell r="G682">
            <v>0.55263559063612044</v>
          </cell>
          <cell r="H682">
            <v>0.71187208479320641</v>
          </cell>
        </row>
        <row r="683">
          <cell r="B683" t="str">
            <v>D-SPLT</v>
          </cell>
          <cell r="C683" t="str">
            <v>VAR_fin</v>
          </cell>
          <cell r="D683" t="str">
            <v>PLT</v>
          </cell>
          <cell r="E683">
            <v>2.085722942349133</v>
          </cell>
          <cell r="F683">
            <v>2.4001397450892603</v>
          </cell>
          <cell r="G683">
            <v>0.55263559063612044</v>
          </cell>
          <cell r="H683">
            <v>0.71187208479320641</v>
          </cell>
        </row>
        <row r="684">
          <cell r="B684" t="str">
            <v>RHES-ESOLPV</v>
          </cell>
          <cell r="C684" t="str">
            <v>VAR_fout</v>
          </cell>
          <cell r="D684" t="str">
            <v>RHES_SOL_ELC</v>
          </cell>
          <cell r="E684">
            <v>2.1349390887346629</v>
          </cell>
          <cell r="F684">
            <v>3.3906692602685045</v>
          </cell>
          <cell r="G684">
            <v>4.0412763601488066</v>
          </cell>
          <cell r="H684">
            <v>4.3534837595851377</v>
          </cell>
        </row>
        <row r="685">
          <cell r="B685" t="str">
            <v>RHES-ESOLPV</v>
          </cell>
          <cell r="C685" t="str">
            <v>VAR_fin</v>
          </cell>
          <cell r="D685" t="str">
            <v>SOL</v>
          </cell>
          <cell r="E685">
            <v>2.1349390887346629</v>
          </cell>
          <cell r="F685">
            <v>3.3906692602685045</v>
          </cell>
          <cell r="G685">
            <v>4.0412763601488066</v>
          </cell>
          <cell r="H685">
            <v>4.3534837595851377</v>
          </cell>
        </row>
        <row r="686">
          <cell r="B686" t="str">
            <v>RHES-ESOLPV</v>
          </cell>
          <cell r="C686" t="str">
            <v>VAR_fin</v>
          </cell>
          <cell r="D686" t="str">
            <v>SOLPVC</v>
          </cell>
          <cell r="E686">
            <v>2.1349390887346602</v>
          </cell>
          <cell r="F686">
            <v>3.3906692602685</v>
          </cell>
          <cell r="G686">
            <v>4.0412763601488004</v>
          </cell>
          <cell r="H686">
            <v>4.3534837595851403</v>
          </cell>
        </row>
        <row r="687">
          <cell r="B687" t="str">
            <v>RHES-ESOLPV</v>
          </cell>
          <cell r="C687" t="str">
            <v>VAR_ncap</v>
          </cell>
          <cell r="D687" t="str">
            <v>-</v>
          </cell>
          <cell r="F687">
            <v>1.40140550392532E-6</v>
          </cell>
          <cell r="G687">
            <v>2.5604936285693298E-4</v>
          </cell>
          <cell r="H687">
            <v>2.45845463530846E-3</v>
          </cell>
        </row>
        <row r="688">
          <cell r="B688" t="str">
            <v>RHES-ESOLPV</v>
          </cell>
          <cell r="C688" t="str">
            <v>VAR_cap</v>
          </cell>
          <cell r="D688" t="str">
            <v>-</v>
          </cell>
          <cell r="E688">
            <v>0.67885700000000004</v>
          </cell>
          <cell r="F688">
            <v>1.1559013190836538</v>
          </cell>
          <cell r="G688">
            <v>1.2894144507683609</v>
          </cell>
          <cell r="H688">
            <v>1.2549900704600494</v>
          </cell>
        </row>
        <row r="689">
          <cell r="B689" t="str">
            <v>SUP_DAC</v>
          </cell>
          <cell r="C689" t="str">
            <v>VAR_fout</v>
          </cell>
          <cell r="D689" t="str">
            <v>CO2_O</v>
          </cell>
        </row>
        <row r="690">
          <cell r="B690" t="str">
            <v>SUP_DAC</v>
          </cell>
          <cell r="C690" t="str">
            <v>VAR_fout</v>
          </cell>
          <cell r="D690" t="str">
            <v>CO2</v>
          </cell>
        </row>
        <row r="691">
          <cell r="B691" t="str">
            <v>SUP_DAC</v>
          </cell>
          <cell r="C691" t="str">
            <v>VAR_fin</v>
          </cell>
          <cell r="D691" t="str">
            <v>CHEAT</v>
          </cell>
        </row>
        <row r="692">
          <cell r="B692" t="str">
            <v>SUP_DAC</v>
          </cell>
          <cell r="C692" t="str">
            <v>VAR_fin</v>
          </cell>
          <cell r="D692" t="str">
            <v>CELC</v>
          </cell>
        </row>
        <row r="693">
          <cell r="B693" t="str">
            <v>SUP_DAC</v>
          </cell>
          <cell r="C693" t="str">
            <v>VAR_ncap</v>
          </cell>
          <cell r="D693" t="str">
            <v>-</v>
          </cell>
        </row>
        <row r="694">
          <cell r="B694" t="str">
            <v>SUP_DAC</v>
          </cell>
          <cell r="C694" t="str">
            <v>VAR_cap</v>
          </cell>
          <cell r="D694" t="str">
            <v>-</v>
          </cell>
        </row>
        <row r="695">
          <cell r="B695" t="str">
            <v>EHYD-DAM10</v>
          </cell>
          <cell r="C695" t="str">
            <v>VAR_fout</v>
          </cell>
          <cell r="D695" t="str">
            <v>ELC</v>
          </cell>
          <cell r="F695">
            <v>0.44540008905421791</v>
          </cell>
          <cell r="G695">
            <v>0.681300169274901</v>
          </cell>
          <cell r="H695">
            <v>0.71718505516123821</v>
          </cell>
        </row>
        <row r="696">
          <cell r="B696" t="str">
            <v>EHYD-DAM10</v>
          </cell>
          <cell r="C696" t="str">
            <v>VAR_fin</v>
          </cell>
          <cell r="D696" t="str">
            <v>HYDD</v>
          </cell>
          <cell r="F696">
            <v>0.44540008905421791</v>
          </cell>
          <cell r="G696">
            <v>0.681300169274901</v>
          </cell>
          <cell r="H696">
            <v>0.71718505516123821</v>
          </cell>
        </row>
        <row r="697">
          <cell r="B697" t="str">
            <v>EHYD-DAM10</v>
          </cell>
          <cell r="C697" t="str">
            <v>VAR_ncap</v>
          </cell>
          <cell r="D697" t="str">
            <v>-</v>
          </cell>
          <cell r="F697">
            <v>5.7164704279135302E-2</v>
          </cell>
          <cell r="G697">
            <v>1.68347915442007E-2</v>
          </cell>
          <cell r="H697">
            <v>9.8922040616506698E-5</v>
          </cell>
        </row>
        <row r="698">
          <cell r="B698" t="str">
            <v>EHYD-DAM10</v>
          </cell>
          <cell r="C698" t="str">
            <v>VAR_cap</v>
          </cell>
          <cell r="D698" t="str">
            <v>-</v>
          </cell>
          <cell r="F698">
            <v>5.7164704279135302E-2</v>
          </cell>
          <cell r="G698">
            <v>7.3999495823335995E-2</v>
          </cell>
          <cell r="H698">
            <v>7.4098417863952507E-2</v>
          </cell>
        </row>
        <row r="699">
          <cell r="B699" t="str">
            <v>DH-EBAT</v>
          </cell>
          <cell r="C699" t="str">
            <v>VAR_fout</v>
          </cell>
          <cell r="D699" t="str">
            <v>ELC35</v>
          </cell>
          <cell r="E699">
            <v>6.6159788967022293E-2</v>
          </cell>
          <cell r="F699">
            <v>5.603376658909813E-2</v>
          </cell>
          <cell r="G699">
            <v>5.776570356781402E-2</v>
          </cell>
          <cell r="H699">
            <v>0.12783120503251952</v>
          </cell>
        </row>
        <row r="700">
          <cell r="B700" t="str">
            <v>DH-EBAT</v>
          </cell>
          <cell r="C700" t="str">
            <v>VAR_fout</v>
          </cell>
          <cell r="D700" t="str">
            <v>AUX_DH-EBAT_OUT</v>
          </cell>
          <cell r="E700">
            <v>6.6159788967022265E-2</v>
          </cell>
          <cell r="F700">
            <v>5.6033766589098116E-2</v>
          </cell>
          <cell r="G700">
            <v>5.7765703567814006E-2</v>
          </cell>
          <cell r="H700">
            <v>0.12783120503251949</v>
          </cell>
        </row>
        <row r="701">
          <cell r="B701" t="str">
            <v>DH-EBAT</v>
          </cell>
          <cell r="C701" t="str">
            <v>VAR_fin</v>
          </cell>
          <cell r="D701" t="str">
            <v>ELC35</v>
          </cell>
          <cell r="E701">
            <v>7.3999378163524338E-2</v>
          </cell>
          <cell r="F701">
            <v>6.2665356006377029E-2</v>
          </cell>
          <cell r="G701">
            <v>6.4617068089746862E-2</v>
          </cell>
          <cell r="H701">
            <v>0.14298741531296721</v>
          </cell>
        </row>
        <row r="702">
          <cell r="B702" t="str">
            <v>DH-EBAT</v>
          </cell>
          <cell r="C702" t="str">
            <v>VAR_fin</v>
          </cell>
          <cell r="D702" t="str">
            <v>AUX_DH-EBAT_IN</v>
          </cell>
          <cell r="E702">
            <v>7.3999378163524338E-2</v>
          </cell>
          <cell r="F702">
            <v>6.2665356006377029E-2</v>
          </cell>
          <cell r="G702">
            <v>6.4617068089746862E-2</v>
          </cell>
          <cell r="H702">
            <v>0.14298741531296721</v>
          </cell>
        </row>
        <row r="703">
          <cell r="B703" t="str">
            <v>DH-EBAT</v>
          </cell>
          <cell r="C703" t="str">
            <v>VAR_ncap</v>
          </cell>
          <cell r="D703" t="str">
            <v>-</v>
          </cell>
          <cell r="E703">
            <v>9.6401009126476107E-3</v>
          </cell>
          <cell r="F703">
            <v>1.6638496562853701E-5</v>
          </cell>
          <cell r="G703">
            <v>1.19894829257338E-4</v>
          </cell>
          <cell r="H703">
            <v>1.0479613311352101E-2</v>
          </cell>
        </row>
        <row r="704">
          <cell r="B704" t="str">
            <v>DH-EBAT</v>
          </cell>
          <cell r="C704" t="str">
            <v>VAR_cap</v>
          </cell>
          <cell r="D704" t="str">
            <v>-</v>
          </cell>
          <cell r="E704">
            <v>9.6401009126476107E-3</v>
          </cell>
          <cell r="F704">
            <v>9.6497167756319675E-3</v>
          </cell>
          <cell r="G704">
            <v>9.7586707475158276E-3</v>
          </cell>
          <cell r="H704">
            <v>1.7650283203251058E-2</v>
          </cell>
        </row>
        <row r="705">
          <cell r="B705" t="str">
            <v>RHEM-EBAT</v>
          </cell>
          <cell r="C705" t="str">
            <v>VAR_fout</v>
          </cell>
          <cell r="D705" t="str">
            <v>RHEM_ELC</v>
          </cell>
          <cell r="E705">
            <v>2.3258903558203873E-2</v>
          </cell>
          <cell r="F705">
            <v>2.3317690584268299E-2</v>
          </cell>
          <cell r="G705">
            <v>4.4667151991188113E-2</v>
          </cell>
          <cell r="H705">
            <v>4.5856530328175868E-2</v>
          </cell>
        </row>
        <row r="706">
          <cell r="B706" t="str">
            <v>RHEM-EBAT</v>
          </cell>
          <cell r="C706" t="str">
            <v>VAR_fout</v>
          </cell>
          <cell r="D706" t="str">
            <v>AUX_RHEM-EBAT_OUT</v>
          </cell>
          <cell r="E706">
            <v>2.325890355820389E-2</v>
          </cell>
          <cell r="F706">
            <v>2.3317690584268316E-2</v>
          </cell>
          <cell r="G706">
            <v>4.4667151991188148E-2</v>
          </cell>
          <cell r="H706">
            <v>4.5856530328175903E-2</v>
          </cell>
        </row>
        <row r="707">
          <cell r="B707" t="str">
            <v>RHEM-EBAT</v>
          </cell>
          <cell r="C707" t="str">
            <v>VAR_fin</v>
          </cell>
          <cell r="D707" t="str">
            <v>RHEM_ELC</v>
          </cell>
          <cell r="E707">
            <v>2.5837579871814533E-2</v>
          </cell>
          <cell r="F707">
            <v>2.5889861615458996E-2</v>
          </cell>
          <cell r="G707">
            <v>4.9413331448544179E-2</v>
          </cell>
          <cell r="H707">
            <v>5.072528526120014E-2</v>
          </cell>
        </row>
        <row r="708">
          <cell r="B708" t="str">
            <v>RHEM-EBAT</v>
          </cell>
          <cell r="C708" t="str">
            <v>VAR_fin</v>
          </cell>
          <cell r="D708" t="str">
            <v>AUX_RHEM-EBAT_IN</v>
          </cell>
          <cell r="E708">
            <v>2.5837579871814533E-2</v>
          </cell>
          <cell r="F708">
            <v>2.5889861615458996E-2</v>
          </cell>
          <cell r="G708">
            <v>4.9413331448544179E-2</v>
          </cell>
          <cell r="H708">
            <v>5.072528526120014E-2</v>
          </cell>
        </row>
        <row r="709">
          <cell r="B709" t="str">
            <v>RHEM-EBAT</v>
          </cell>
          <cell r="C709" t="str">
            <v>VAR_ncap</v>
          </cell>
          <cell r="D709" t="str">
            <v>-</v>
          </cell>
          <cell r="E709">
            <v>9.5996008388939697E-3</v>
          </cell>
          <cell r="F709">
            <v>1.7449451165912401E-5</v>
          </cell>
          <cell r="G709">
            <v>8.7620174661249498E-3</v>
          </cell>
          <cell r="H709">
            <v>2.98526801178182E-3</v>
          </cell>
        </row>
        <row r="710">
          <cell r="B710" t="str">
            <v>RHEM-EBAT</v>
          </cell>
          <cell r="C710" t="str">
            <v>VAR_cap</v>
          </cell>
          <cell r="D710" t="str">
            <v>-</v>
          </cell>
          <cell r="E710">
            <v>9.6017044092716226E-3</v>
          </cell>
          <cell r="F710">
            <v>9.6136730183066562E-3</v>
          </cell>
          <cell r="G710">
            <v>1.8363654557414018E-2</v>
          </cell>
          <cell r="H710">
            <v>1.8768217017734398E-2</v>
          </cell>
        </row>
        <row r="711">
          <cell r="B711" t="str">
            <v>HPLGEO</v>
          </cell>
          <cell r="C711" t="str">
            <v>VAR_fout</v>
          </cell>
          <cell r="D711" t="str">
            <v>LTH</v>
          </cell>
        </row>
        <row r="712">
          <cell r="B712" t="str">
            <v>HPLGEO</v>
          </cell>
          <cell r="C712" t="str">
            <v>VAR_fin</v>
          </cell>
          <cell r="D712" t="str">
            <v>GEO</v>
          </cell>
        </row>
        <row r="713">
          <cell r="B713" t="str">
            <v>HPLGEO</v>
          </cell>
          <cell r="C713" t="str">
            <v>VAR_ncap</v>
          </cell>
          <cell r="D713" t="str">
            <v>-</v>
          </cell>
        </row>
        <row r="714">
          <cell r="B714" t="str">
            <v>HPLGEO</v>
          </cell>
          <cell r="C714" t="str">
            <v>VAR_cap</v>
          </cell>
          <cell r="D714" t="str">
            <v>-</v>
          </cell>
        </row>
        <row r="715">
          <cell r="B715" t="str">
            <v>EHYD-PUM15</v>
          </cell>
          <cell r="C715" t="str">
            <v>VAR_fout</v>
          </cell>
          <cell r="D715" t="str">
            <v>ELC</v>
          </cell>
          <cell r="F715">
            <v>3.7402691272298914E-2</v>
          </cell>
          <cell r="G715">
            <v>3.7583197852108716E-2</v>
          </cell>
          <cell r="H715">
            <v>6.0858070489595288E-2</v>
          </cell>
        </row>
        <row r="716">
          <cell r="B716" t="str">
            <v>EHYD-PUM15</v>
          </cell>
          <cell r="C716" t="str">
            <v>VAR_fout</v>
          </cell>
          <cell r="D716" t="str">
            <v>AUX_PUMP_OUT</v>
          </cell>
          <cell r="F716">
            <v>3.7402691272298914E-2</v>
          </cell>
          <cell r="G716">
            <v>3.7583197852108716E-2</v>
          </cell>
          <cell r="H716">
            <v>6.0858070489595288E-2</v>
          </cell>
        </row>
        <row r="717">
          <cell r="B717" t="str">
            <v>EHYD-PUM15</v>
          </cell>
          <cell r="C717" t="str">
            <v>VAR_fin</v>
          </cell>
          <cell r="D717" t="str">
            <v>AUX_PUMP_IN</v>
          </cell>
          <cell r="F717">
            <v>4.6816428272353668E-2</v>
          </cell>
          <cell r="G717">
            <v>4.7006122791147506E-2</v>
          </cell>
          <cell r="H717">
            <v>7.606337000565988E-2</v>
          </cell>
        </row>
        <row r="718">
          <cell r="B718" t="str">
            <v>EHYD-PUM15</v>
          </cell>
          <cell r="C718" t="str">
            <v>VAR_fin</v>
          </cell>
          <cell r="D718" t="str">
            <v>ELC</v>
          </cell>
          <cell r="F718">
            <v>4.6816428272353668E-2</v>
          </cell>
          <cell r="G718">
            <v>4.7006122791147506E-2</v>
          </cell>
          <cell r="H718">
            <v>7.606337000565988E-2</v>
          </cell>
        </row>
        <row r="719">
          <cell r="B719" t="str">
            <v>EHYD-PUM15</v>
          </cell>
          <cell r="C719" t="str">
            <v>VAR_ncap</v>
          </cell>
          <cell r="D719" t="str">
            <v>-</v>
          </cell>
          <cell r="F719">
            <v>4.8712583636179498E-3</v>
          </cell>
          <cell r="G719">
            <v>2.59622543678957E-6</v>
          </cell>
          <cell r="H719">
            <v>2.5997829062343898E-6</v>
          </cell>
        </row>
        <row r="720">
          <cell r="B720" t="str">
            <v>EHYD-PUM15</v>
          </cell>
          <cell r="C720" t="str">
            <v>VAR_cap</v>
          </cell>
          <cell r="D720" t="str">
            <v>-</v>
          </cell>
          <cell r="F720">
            <v>4.8712583636179498E-3</v>
          </cell>
          <cell r="G720">
            <v>4.8712583636179498E-3</v>
          </cell>
          <cell r="H720">
            <v>4.8712583636179498E-3</v>
          </cell>
        </row>
        <row r="721">
          <cell r="B721" t="str">
            <v>D-EWST</v>
          </cell>
          <cell r="C721" t="str">
            <v>VAR_fout</v>
          </cell>
          <cell r="D721" t="str">
            <v>CO2</v>
          </cell>
          <cell r="E721">
            <v>2266.28862065257</v>
          </cell>
          <cell r="F721">
            <v>2237.5566307754402</v>
          </cell>
          <cell r="G721">
            <v>2312.7769545096098</v>
          </cell>
          <cell r="H721">
            <v>2351.3595117988698</v>
          </cell>
        </row>
        <row r="722">
          <cell r="B722" t="str">
            <v>D-EWST</v>
          </cell>
          <cell r="C722" t="str">
            <v>VAR_fout</v>
          </cell>
          <cell r="D722" t="str">
            <v>EWST</v>
          </cell>
          <cell r="E722">
            <v>48.842427169236437</v>
          </cell>
          <cell r="F722">
            <v>48.223379344993198</v>
          </cell>
          <cell r="G722">
            <v>49.844511657418387</v>
          </cell>
          <cell r="H722">
            <v>50.676089793613762</v>
          </cell>
        </row>
        <row r="723">
          <cell r="B723" t="str">
            <v>D-EWST</v>
          </cell>
          <cell r="C723" t="str">
            <v>VAR_fin</v>
          </cell>
          <cell r="D723" t="str">
            <v>WSTNREN</v>
          </cell>
          <cell r="E723">
            <v>24.421213584618208</v>
          </cell>
          <cell r="F723">
            <v>24.111601624735293</v>
          </cell>
          <cell r="G723">
            <v>24.922165458077693</v>
          </cell>
          <cell r="H723">
            <v>25.337925773694725</v>
          </cell>
        </row>
        <row r="724">
          <cell r="B724" t="str">
            <v>D-EWST</v>
          </cell>
          <cell r="C724" t="str">
            <v>VAR_fin</v>
          </cell>
          <cell r="D724" t="str">
            <v>WSTREN</v>
          </cell>
          <cell r="E724">
            <v>24.421213584618208</v>
          </cell>
          <cell r="F724">
            <v>24.111601624735293</v>
          </cell>
          <cell r="G724">
            <v>24.922165458077693</v>
          </cell>
          <cell r="H724">
            <v>25.337925773694725</v>
          </cell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5.0110853059788303</v>
          </cell>
        </row>
        <row r="5">
          <cell r="A5" t="str">
            <v>EXPELC_DE</v>
          </cell>
          <cell r="C5" t="str">
            <v>ELC_E-DE</v>
          </cell>
          <cell r="D5">
            <v>26.493024221127655</v>
          </cell>
          <cell r="E5">
            <v>1.0514877998353319E-2</v>
          </cell>
          <cell r="F5">
            <v>1.2516595336610458E-2</v>
          </cell>
          <cell r="G5">
            <v>9.1876373848008511E-3</v>
          </cell>
        </row>
        <row r="6">
          <cell r="A6" t="str">
            <v>IMPDSL</v>
          </cell>
          <cell r="C6" t="str">
            <v>DSL</v>
          </cell>
          <cell r="D6">
            <v>121.89424816293706</v>
          </cell>
          <cell r="E6">
            <v>112.68574983712354</v>
          </cell>
          <cell r="F6">
            <v>95.48232651826433</v>
          </cell>
          <cell r="G6">
            <v>56.806864888603791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15.013856275659503</v>
          </cell>
          <cell r="E8">
            <v>0.94657119544528923</v>
          </cell>
          <cell r="F8">
            <v>0.51305837026265</v>
          </cell>
          <cell r="G8">
            <v>0.52562360039349076</v>
          </cell>
        </row>
        <row r="9">
          <cell r="A9" t="str">
            <v>IMPELC_AT</v>
          </cell>
          <cell r="C9" t="str">
            <v>ELCS</v>
          </cell>
          <cell r="D9">
            <v>15.013856275659503</v>
          </cell>
          <cell r="E9">
            <v>0.94657119544528923</v>
          </cell>
          <cell r="F9">
            <v>0.51305837026265</v>
          </cell>
          <cell r="G9">
            <v>0.52562360039349076</v>
          </cell>
        </row>
        <row r="10">
          <cell r="A10" t="str">
            <v>IMPELC_FR</v>
          </cell>
          <cell r="C10" t="str">
            <v>ELC_I-FR</v>
          </cell>
          <cell r="D10">
            <v>28.948670600564245</v>
          </cell>
          <cell r="E10">
            <v>21.080686840054629</v>
          </cell>
          <cell r="F10">
            <v>26.594131344599681</v>
          </cell>
          <cell r="G10">
            <v>18.064614718796527</v>
          </cell>
        </row>
        <row r="11">
          <cell r="A11" t="str">
            <v>IMPELC_FR</v>
          </cell>
          <cell r="C11" t="str">
            <v>ELCS</v>
          </cell>
          <cell r="D11">
            <v>28.948670600564245</v>
          </cell>
          <cell r="E11">
            <v>21.080686840054629</v>
          </cell>
          <cell r="F11">
            <v>26.594131344599681</v>
          </cell>
          <cell r="G11">
            <v>18.064614718796527</v>
          </cell>
        </row>
        <row r="12">
          <cell r="A12" t="str">
            <v>RNWHYDR1</v>
          </cell>
          <cell r="C12" t="str">
            <v>HYDR</v>
          </cell>
          <cell r="D12">
            <v>66.632430866657657</v>
          </cell>
          <cell r="E12">
            <v>55.764055694378634</v>
          </cell>
          <cell r="F12">
            <v>65.677217745587811</v>
          </cell>
          <cell r="G12">
            <v>64.853740316850065</v>
          </cell>
        </row>
        <row r="13">
          <cell r="A13" t="str">
            <v>EXPELC_IT</v>
          </cell>
          <cell r="C13" t="str">
            <v>ELC_E-IT</v>
          </cell>
          <cell r="D13">
            <v>71.694131784294385</v>
          </cell>
          <cell r="E13">
            <v>34.86251306640257</v>
          </cell>
          <cell r="F13">
            <v>71.904851705876354</v>
          </cell>
          <cell r="G13">
            <v>52.680973523479118</v>
          </cell>
        </row>
        <row r="14">
          <cell r="A14" t="str">
            <v>IMPLNG</v>
          </cell>
          <cell r="C14" t="str">
            <v>LBIO</v>
          </cell>
          <cell r="G14">
            <v>8.5252024535565196E-3</v>
          </cell>
        </row>
        <row r="15">
          <cell r="A15" t="str">
            <v>IMPLNG</v>
          </cell>
          <cell r="C15" t="str">
            <v>LNGA</v>
          </cell>
          <cell r="G15">
            <v>4.3740511977914093E-2</v>
          </cell>
        </row>
        <row r="16">
          <cell r="A16" t="str">
            <v>IMPURN1</v>
          </cell>
          <cell r="C16" t="str">
            <v>URN</v>
          </cell>
          <cell r="D16">
            <v>250.9487170795704</v>
          </cell>
          <cell r="E16">
            <v>253.29674232384011</v>
          </cell>
          <cell r="F16">
            <v>233.18388719099895</v>
          </cell>
          <cell r="G16">
            <v>211.82169140682569</v>
          </cell>
        </row>
        <row r="17">
          <cell r="A17" t="str">
            <v>EXPELC_AT</v>
          </cell>
          <cell r="C17" t="str">
            <v>ELC_E-AT</v>
          </cell>
          <cell r="D17">
            <v>6.2296562858476987</v>
          </cell>
          <cell r="E17">
            <v>1.5931736788436374E-2</v>
          </cell>
          <cell r="F17">
            <v>2.0913411592458787E-2</v>
          </cell>
          <cell r="G17">
            <v>3.8060721036487187E-3</v>
          </cell>
        </row>
        <row r="18">
          <cell r="A18" t="str">
            <v>EXPELC_FR</v>
          </cell>
          <cell r="C18" t="str">
            <v>ELC_E-FR</v>
          </cell>
          <cell r="D18">
            <v>12.753444394505104</v>
          </cell>
          <cell r="E18">
            <v>1.3559253697069708E-2</v>
          </cell>
          <cell r="F18">
            <v>1.4263996112231685E-2</v>
          </cell>
          <cell r="G18">
            <v>6.9464090622277999E-3</v>
          </cell>
        </row>
        <row r="19">
          <cell r="A19" t="str">
            <v>RNWWND1</v>
          </cell>
          <cell r="C19" t="str">
            <v>WND</v>
          </cell>
          <cell r="D19">
            <v>0.44818837294456559</v>
          </cell>
          <cell r="E19">
            <v>0.46801289251717693</v>
          </cell>
          <cell r="F19">
            <v>0.42539274900897067</v>
          </cell>
          <cell r="G19">
            <v>0.87510594678870446</v>
          </cell>
        </row>
        <row r="20">
          <cell r="A20" t="str">
            <v>RNWWND2</v>
          </cell>
          <cell r="C20" t="str">
            <v>WND</v>
          </cell>
          <cell r="D20">
            <v>2.7102516507153843E-2</v>
          </cell>
          <cell r="E20">
            <v>2.7527245438387891E-2</v>
          </cell>
          <cell r="F20">
            <v>2.7743393608109283E-2</v>
          </cell>
          <cell r="G20">
            <v>1.0979208196255725</v>
          </cell>
        </row>
        <row r="21">
          <cell r="A21" t="str">
            <v>RNWMNR1</v>
          </cell>
          <cell r="C21" t="str">
            <v>MNR</v>
          </cell>
          <cell r="D21">
            <v>3.7982918878914633</v>
          </cell>
          <cell r="E21">
            <v>12.540359083790694</v>
          </cell>
          <cell r="F21">
            <v>12.540421416964007</v>
          </cell>
          <cell r="G21">
            <v>12.540431121177249</v>
          </cell>
        </row>
        <row r="22">
          <cell r="A22" t="str">
            <v>RNWWND3</v>
          </cell>
          <cell r="C22" t="str">
            <v>WND</v>
          </cell>
          <cell r="D22">
            <v>2.2458830144365127E-2</v>
          </cell>
          <cell r="E22">
            <v>2.2795665226495964E-2</v>
          </cell>
          <cell r="F22">
            <v>2.2982188845841134E-2</v>
          </cell>
          <cell r="G22">
            <v>4.6429896047368711E-2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1.5618064710054204E-2</v>
          </cell>
          <cell r="E24">
            <v>1.5808360427238557E-2</v>
          </cell>
          <cell r="F24">
            <v>1.588534879022209E-2</v>
          </cell>
          <cell r="G24">
            <v>1.8832113727967555E-2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102.14686482660032</v>
          </cell>
          <cell r="E26">
            <v>88.232629849963274</v>
          </cell>
          <cell r="F26">
            <v>86.025824283526873</v>
          </cell>
          <cell r="G26">
            <v>47.723315078576853</v>
          </cell>
        </row>
        <row r="27">
          <cell r="A27" t="str">
            <v>RNWWND5</v>
          </cell>
          <cell r="C27" t="str">
            <v>WND</v>
          </cell>
          <cell r="D27">
            <v>1.1120754484534178E-2</v>
          </cell>
          <cell r="E27">
            <v>1.1224552905496961E-2</v>
          </cell>
          <cell r="F27">
            <v>1.1237654336681098E-2</v>
          </cell>
          <cell r="G27">
            <v>1.2467559892135664E-2</v>
          </cell>
        </row>
        <row r="28">
          <cell r="A28" t="str">
            <v>IMPBNGA</v>
          </cell>
          <cell r="C28" t="str">
            <v>BIO</v>
          </cell>
          <cell r="E28">
            <v>1.7812515109373096E-3</v>
          </cell>
          <cell r="F28">
            <v>1.6722916026538155E-3</v>
          </cell>
          <cell r="G28">
            <v>0.51869769224351592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80.684757022338403</v>
          </cell>
          <cell r="G31">
            <v>78.507003277906307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77.404073620847043</v>
          </cell>
          <cell r="E35">
            <v>75.649647193300396</v>
          </cell>
          <cell r="F35">
            <v>70.929145538586567</v>
          </cell>
          <cell r="G35">
            <v>41.082883194158065</v>
          </cell>
        </row>
        <row r="36">
          <cell r="A36" t="str">
            <v>RNWWOD1</v>
          </cell>
          <cell r="C36" t="str">
            <v>WOD</v>
          </cell>
          <cell r="D36">
            <v>11.111976141568594</v>
          </cell>
          <cell r="E36">
            <v>11.952923578006255</v>
          </cell>
          <cell r="F36">
            <v>13.357213022457403</v>
          </cell>
          <cell r="G36">
            <v>15.656186912610261</v>
          </cell>
        </row>
        <row r="37">
          <cell r="A37" t="str">
            <v>RNWWOD2</v>
          </cell>
          <cell r="C37" t="str">
            <v>WOD</v>
          </cell>
          <cell r="D37">
            <v>7.5117708343997647</v>
          </cell>
          <cell r="E37">
            <v>7.5431833211157198</v>
          </cell>
          <cell r="F37">
            <v>7.5903684650464012</v>
          </cell>
          <cell r="G37">
            <v>7.6690331077722877</v>
          </cell>
        </row>
        <row r="38">
          <cell r="A38" t="str">
            <v>RNWWOD3</v>
          </cell>
          <cell r="C38" t="str">
            <v>WOD</v>
          </cell>
          <cell r="D38">
            <v>3.1683463948340496</v>
          </cell>
          <cell r="E38">
            <v>3.4957144759587795</v>
          </cell>
          <cell r="F38">
            <v>3.9868298124432071</v>
          </cell>
          <cell r="G38">
            <v>4.805389453080994</v>
          </cell>
        </row>
        <row r="39">
          <cell r="A39" t="str">
            <v>RNWWOD4</v>
          </cell>
          <cell r="C39" t="str">
            <v>WOD</v>
          </cell>
          <cell r="D39">
            <v>15.110386345840936</v>
          </cell>
          <cell r="E39">
            <v>14.899043007245094</v>
          </cell>
          <cell r="F39">
            <v>19.670460563227383</v>
          </cell>
          <cell r="G39">
            <v>24.230701756072303</v>
          </cell>
        </row>
        <row r="40">
          <cell r="A40" t="str">
            <v>RNWWOD5</v>
          </cell>
          <cell r="C40" t="str">
            <v>WOD</v>
          </cell>
          <cell r="D40">
            <v>9.431635499356906</v>
          </cell>
          <cell r="E40">
            <v>12.59972350174751</v>
          </cell>
          <cell r="F40">
            <v>8.9400448833119537</v>
          </cell>
          <cell r="G40">
            <v>1.1851404562036287</v>
          </cell>
        </row>
        <row r="41">
          <cell r="A41" t="str">
            <v>RNNWWST1</v>
          </cell>
          <cell r="C41" t="str">
            <v>WSTNREN</v>
          </cell>
          <cell r="D41">
            <v>35.931415647284581</v>
          </cell>
          <cell r="E41">
            <v>36.121600754240653</v>
          </cell>
          <cell r="F41">
            <v>35.963639011507908</v>
          </cell>
          <cell r="G41">
            <v>37.032765660388442</v>
          </cell>
        </row>
        <row r="42">
          <cell r="A42" t="str">
            <v>RNWSOL1</v>
          </cell>
          <cell r="C42" t="str">
            <v>SOL</v>
          </cell>
          <cell r="D42">
            <v>12.557136404926036</v>
          </cell>
          <cell r="E42">
            <v>16.525178250020552</v>
          </cell>
          <cell r="F42">
            <v>30.421478522021395</v>
          </cell>
          <cell r="G42">
            <v>56.344572823422311</v>
          </cell>
        </row>
        <row r="43">
          <cell r="A43" t="str">
            <v>IMPHFO1</v>
          </cell>
          <cell r="C43" t="str">
            <v>HFO</v>
          </cell>
          <cell r="D43">
            <v>2.7765248325854821</v>
          </cell>
          <cell r="E43">
            <v>2.7643673663297474</v>
          </cell>
          <cell r="F43">
            <v>4.8276246552936893E-2</v>
          </cell>
          <cell r="G43">
            <v>4.6215869532633732E-3</v>
          </cell>
        </row>
        <row r="44">
          <cell r="A44" t="str">
            <v>RNWHYDD1</v>
          </cell>
          <cell r="C44" t="str">
            <v>HYDD</v>
          </cell>
          <cell r="D44">
            <v>66.745681606063101</v>
          </cell>
          <cell r="E44">
            <v>49.798777987808698</v>
          </cell>
          <cell r="F44">
            <v>68.970400584037364</v>
          </cell>
          <cell r="G44">
            <v>70.97023239346008</v>
          </cell>
        </row>
        <row r="45">
          <cell r="A45" t="str">
            <v>IMPKER</v>
          </cell>
          <cell r="C45" t="str">
            <v>KER</v>
          </cell>
          <cell r="D45">
            <v>1.1093794036503803</v>
          </cell>
          <cell r="E45">
            <v>1.4041021466046504</v>
          </cell>
          <cell r="F45">
            <v>1.8282779230786981</v>
          </cell>
          <cell r="G45">
            <v>2.4457699005055282</v>
          </cell>
        </row>
        <row r="46">
          <cell r="A46" t="str">
            <v>IMPBDS</v>
          </cell>
          <cell r="C46" t="str">
            <v>BDS</v>
          </cell>
          <cell r="D46">
            <v>2.8760887320951913</v>
          </cell>
          <cell r="E46">
            <v>1.8147572347056704</v>
          </cell>
          <cell r="F46">
            <v>3.2885273479649721</v>
          </cell>
          <cell r="G46">
            <v>3.3872223381656861</v>
          </cell>
        </row>
        <row r="47">
          <cell r="A47" t="str">
            <v>IMPCOA1</v>
          </cell>
          <cell r="C47" t="str">
            <v>COA</v>
          </cell>
          <cell r="D47">
            <v>3.6601882141811259</v>
          </cell>
          <cell r="E47">
            <v>3.5647660482432162</v>
          </cell>
          <cell r="F47">
            <v>0.15596099168927152</v>
          </cell>
          <cell r="G47">
            <v>4.6208376640515239E-3</v>
          </cell>
        </row>
        <row r="48">
          <cell r="A48" t="str">
            <v>IMPETH</v>
          </cell>
          <cell r="C48" t="str">
            <v>ETH</v>
          </cell>
          <cell r="D48">
            <v>2.9848618205759734</v>
          </cell>
          <cell r="E48">
            <v>4.0443988278181138</v>
          </cell>
          <cell r="F48">
            <v>2.570739257428853</v>
          </cell>
          <cell r="G48">
            <v>1.9550049530579647</v>
          </cell>
        </row>
        <row r="49">
          <cell r="A49" t="str">
            <v>IMPELC_DE</v>
          </cell>
          <cell r="C49" t="str">
            <v>ELC_I-DE</v>
          </cell>
          <cell r="D49">
            <v>46.3985156408202</v>
          </cell>
          <cell r="E49">
            <v>28.265630226990357</v>
          </cell>
          <cell r="F49">
            <v>23.333218548066622</v>
          </cell>
          <cell r="G49">
            <v>32.107053704417403</v>
          </cell>
        </row>
        <row r="50">
          <cell r="A50" t="str">
            <v>IMPELC_DE</v>
          </cell>
          <cell r="C50" t="str">
            <v>ELCS</v>
          </cell>
          <cell r="D50">
            <v>46.3985156408202</v>
          </cell>
          <cell r="E50">
            <v>28.265630226990357</v>
          </cell>
          <cell r="F50">
            <v>23.333218548066622</v>
          </cell>
          <cell r="G50">
            <v>32.107053704417403</v>
          </cell>
        </row>
        <row r="51">
          <cell r="A51" t="str">
            <v>RNWWST1</v>
          </cell>
          <cell r="C51" t="str">
            <v>WSTREN</v>
          </cell>
          <cell r="D51">
            <v>34.100671096977578</v>
          </cell>
          <cell r="E51">
            <v>35.102689342431958</v>
          </cell>
          <cell r="F51">
            <v>35.103010635547861</v>
          </cell>
          <cell r="G51">
            <v>37.238307336651026</v>
          </cell>
        </row>
        <row r="52">
          <cell r="A52" t="str">
            <v>IMPNGA1</v>
          </cell>
          <cell r="C52" t="str">
            <v>NGA</v>
          </cell>
          <cell r="D52">
            <v>118.81618615236589</v>
          </cell>
          <cell r="E52">
            <v>106.72001471923431</v>
          </cell>
          <cell r="F52">
            <v>106.22916669823748</v>
          </cell>
          <cell r="G52">
            <v>78.53998988218585</v>
          </cell>
        </row>
        <row r="53">
          <cell r="A53" t="str">
            <v>IMPELC_IT</v>
          </cell>
          <cell r="C53" t="str">
            <v>ELC_I-IT</v>
          </cell>
          <cell r="D53">
            <v>6.7991233862165927</v>
          </cell>
          <cell r="E53">
            <v>9.7962296817703486E-3</v>
          </cell>
          <cell r="F53">
            <v>8.4415287670235387E-3</v>
          </cell>
          <cell r="G53">
            <v>3.8438980557683514E-3</v>
          </cell>
        </row>
        <row r="54">
          <cell r="A54" t="str">
            <v>IMPELC_IT</v>
          </cell>
          <cell r="C54" t="str">
            <v>ELCS</v>
          </cell>
          <cell r="D54">
            <v>6.7991233862165927</v>
          </cell>
          <cell r="E54">
            <v>9.7962296817703486E-3</v>
          </cell>
          <cell r="F54">
            <v>8.4415287670235387E-3</v>
          </cell>
          <cell r="G54">
            <v>3.8438980557683514E-3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3.2685571165362615</v>
          </cell>
          <cell r="E4">
            <v>3.8321672880200586</v>
          </cell>
          <cell r="F4">
            <v>0.60927028493672275</v>
          </cell>
          <cell r="G4">
            <v>0.76445178778467615</v>
          </cell>
          <cell r="H4">
            <v>0.80474304292388488</v>
          </cell>
          <cell r="I4">
            <v>0.87226819948009149</v>
          </cell>
          <cell r="J4">
            <v>0.75456453628067766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3.2685571165362615</v>
          </cell>
          <cell r="E5">
            <v>3.8321672880200586</v>
          </cell>
          <cell r="F5">
            <v>0.60927028493672275</v>
          </cell>
          <cell r="G5">
            <v>0.76445178778467615</v>
          </cell>
          <cell r="H5">
            <v>0.80474304292388488</v>
          </cell>
          <cell r="I5">
            <v>0.87226819948009149</v>
          </cell>
          <cell r="J5">
            <v>0.75456453628067766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1.6577791237973518E-3</v>
          </cell>
          <cell r="F6">
            <v>2.7828003001388938E-4</v>
          </cell>
          <cell r="G6">
            <v>2.2485314921168344E-4</v>
          </cell>
          <cell r="H6">
            <v>2.4366734794813787E-4</v>
          </cell>
          <cell r="I6">
            <v>1.7010183176133421E-4</v>
          </cell>
          <cell r="J6">
            <v>2.583982919338881E-4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1.65943690292115E-3</v>
          </cell>
          <cell r="F7">
            <v>2.7855831004390313E-4</v>
          </cell>
          <cell r="G7">
            <v>2.250780023608952E-4</v>
          </cell>
          <cell r="H7">
            <v>2.4391101529608591E-4</v>
          </cell>
          <cell r="I7">
            <v>1.7027193359309551E-4</v>
          </cell>
          <cell r="J7">
            <v>2.5865669022582209E-4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1.22863810725175E-3</v>
          </cell>
          <cell r="F8">
            <v>6.2800324672260697E-5</v>
          </cell>
          <cell r="G8">
            <v>7.6643264751277411E-5</v>
          </cell>
          <cell r="H8">
            <v>6.4873712413426524E-5</v>
          </cell>
          <cell r="I8">
            <v>9.6462586208179193E-5</v>
          </cell>
          <cell r="J8">
            <v>2.1167034801295638E-4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2.6578730062993102E-4</v>
          </cell>
          <cell r="E9">
            <v>1.6254636458885199E-4</v>
          </cell>
          <cell r="F9">
            <v>2.70067414247493E-4</v>
          </cell>
          <cell r="G9">
            <v>4.2654885391402403E-4</v>
          </cell>
          <cell r="H9">
            <v>4.9472414699338403E-5</v>
          </cell>
          <cell r="I9">
            <v>8.1836712800266301E-5</v>
          </cell>
          <cell r="J9">
            <v>2.2722389653002099E-4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2.6578730062993102E-4</v>
          </cell>
          <cell r="E10">
            <v>4.2833366521878298E-4</v>
          </cell>
          <cell r="F10">
            <v>6.9840107946627695E-4</v>
          </cell>
          <cell r="G10">
            <v>1.1249499333803E-3</v>
          </cell>
          <cell r="H10">
            <v>8.9829612560720805E-4</v>
          </cell>
          <cell r="I10">
            <v>4.7047101494390302E-4</v>
          </cell>
          <cell r="J10">
            <v>3.0754210929982701E-4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3.87245424420408E-2</v>
          </cell>
          <cell r="F11">
            <v>4.8029370718954896</v>
          </cell>
          <cell r="G11">
            <v>7.4021868884676696</v>
          </cell>
          <cell r="H11">
            <v>7.3635303119500399</v>
          </cell>
          <cell r="I11">
            <v>5.0625331698231504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4.7070198015823113E-4</v>
          </cell>
          <cell r="F12">
            <v>6.1889056991423136E-2</v>
          </cell>
          <cell r="G12">
            <v>9.5382129589456466E-2</v>
          </cell>
          <cell r="H12">
            <v>9.4884013742552786E-2</v>
          </cell>
          <cell r="I12">
            <v>6.5234126364371606E-2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5.2543476854872214E-4</v>
          </cell>
          <cell r="F13">
            <v>6.5168752671580676E-2</v>
          </cell>
          <cell r="G13">
            <v>0.10043672847310266</v>
          </cell>
          <cell r="H13">
            <v>9.9912215901628743E-2</v>
          </cell>
          <cell r="I13">
            <v>6.8691087785931471E-2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7.0684564672183299E-4</v>
          </cell>
          <cell r="F14">
            <v>2.93815075276199E-2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7.0684564672183299E-4</v>
          </cell>
          <cell r="F15">
            <v>3.0008472046247594E-2</v>
          </cell>
          <cell r="G15">
            <v>2.9875317026820503E-2</v>
          </cell>
          <cell r="H15">
            <v>2.9587496906213734E-2</v>
          </cell>
          <cell r="I15">
            <v>5.2032922577463893E-3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5.5655621895826801</v>
          </cell>
          <cell r="G16">
            <v>15.320211118881801</v>
          </cell>
          <cell r="H16">
            <v>21.4360389924645</v>
          </cell>
          <cell r="I16">
            <v>26.2223874258348</v>
          </cell>
          <cell r="J16">
            <v>30.724511805244799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0.18986508296825197</v>
          </cell>
          <cell r="G17">
            <v>0.54102993172568192</v>
          </cell>
          <cell r="H17">
            <v>0.76733300968895457</v>
          </cell>
          <cell r="I17">
            <v>0.95124981178823942</v>
          </cell>
          <cell r="J17">
            <v>1.166578124495433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9.8680180666359724E-2</v>
          </cell>
          <cell r="G18">
            <v>0.27163494891634399</v>
          </cell>
          <cell r="H18">
            <v>0.3800716133415683</v>
          </cell>
          <cell r="I18">
            <v>0.46493594726657389</v>
          </cell>
          <cell r="J18">
            <v>0.54476084761072319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0.18986508296825197</v>
          </cell>
          <cell r="G19">
            <v>0.54102993172568192</v>
          </cell>
          <cell r="H19">
            <v>0.76733300968895457</v>
          </cell>
          <cell r="I19">
            <v>0.95124981178823942</v>
          </cell>
          <cell r="J19">
            <v>1.166578124495433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1.34215651857193E-5</v>
          </cell>
          <cell r="F20">
            <v>1.51347534428062E-2</v>
          </cell>
          <cell r="G20">
            <v>2.48856829203646E-2</v>
          </cell>
          <cell r="H20">
            <v>1.7138824995342399E-2</v>
          </cell>
          <cell r="I20">
            <v>3.4086196423897097E-2</v>
          </cell>
          <cell r="J20">
            <v>5.3774767804038399E-2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1.34215651857193E-5</v>
          </cell>
          <cell r="F21">
            <v>1.5145975704407035E-2</v>
          </cell>
          <cell r="G21">
            <v>4.0030278959081483E-2</v>
          </cell>
          <cell r="H21">
            <v>5.7156471033013363E-2</v>
          </cell>
          <cell r="I21">
            <v>7.0895244054787129E-2</v>
          </cell>
          <cell r="J21">
            <v>8.5758792027590416E-2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0.46159904975162597</v>
          </cell>
          <cell r="E22">
            <v>0.5446111002284405</v>
          </cell>
          <cell r="F22">
            <v>0.57530150914458866</v>
          </cell>
          <cell r="G22">
            <v>0.59338116082553971</v>
          </cell>
          <cell r="H22">
            <v>0.59397895608854012</v>
          </cell>
          <cell r="I22">
            <v>0.59454914029965111</v>
          </cell>
          <cell r="J22">
            <v>0.59544162723104088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0.46159904975162597</v>
          </cell>
          <cell r="E23">
            <v>0.5446111002284405</v>
          </cell>
          <cell r="F23">
            <v>0.57530150914458866</v>
          </cell>
          <cell r="G23">
            <v>0.59338116082553971</v>
          </cell>
          <cell r="H23">
            <v>0.59397895608854012</v>
          </cell>
          <cell r="I23">
            <v>0.59454914029965111</v>
          </cell>
          <cell r="J23">
            <v>0.59544162723104088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0.62589701661237407</v>
          </cell>
          <cell r="E24">
            <v>0.73762225764574341</v>
          </cell>
          <cell r="F24">
            <v>0.77787246306873914</v>
          </cell>
          <cell r="G24">
            <v>0.80006448650634476</v>
          </cell>
          <cell r="H24">
            <v>0.7986271678501381</v>
          </cell>
          <cell r="I24">
            <v>0.79716085850232588</v>
          </cell>
          <cell r="J24">
            <v>0.79392216964138729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1.05363524761904E-2</v>
          </cell>
          <cell r="F25">
            <v>2.50728135014529E-3</v>
          </cell>
          <cell r="G25">
            <v>1.87249107764758E-3</v>
          </cell>
          <cell r="H25">
            <v>2.8404034920983701E-2</v>
          </cell>
          <cell r="I25">
            <v>1.9220177293959199E-2</v>
          </cell>
          <cell r="J25">
            <v>2.1280060726095899E-2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4.0362078771685593E-2</v>
          </cell>
          <cell r="F26">
            <v>4.2730081397943251E-2</v>
          </cell>
          <cell r="G26">
            <v>4.4468930722632229E-2</v>
          </cell>
          <cell r="H26">
            <v>4.547407517617006E-2</v>
          </cell>
          <cell r="I26">
            <v>4.7990090879960104E-2</v>
          </cell>
          <cell r="J26">
            <v>4.6522657992711096E-2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0.5205740069369198</v>
          </cell>
          <cell r="E27">
            <v>0.59729223818153576</v>
          </cell>
          <cell r="F27">
            <v>1.187262500008621</v>
          </cell>
          <cell r="G27">
            <v>1.1594599532141887</v>
          </cell>
          <cell r="H27">
            <v>1.0748350247191591</v>
          </cell>
          <cell r="I27">
            <v>1.0023515345736462</v>
          </cell>
          <cell r="J27">
            <v>0.73448337362611127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1.0411480138738396</v>
          </cell>
          <cell r="E28">
            <v>1.1945844763630717</v>
          </cell>
          <cell r="F28">
            <v>2.7167265261710254</v>
          </cell>
          <cell r="G28">
            <v>2.5757919451097897</v>
          </cell>
          <cell r="H28">
            <v>2.3372702598531729</v>
          </cell>
          <cell r="I28">
            <v>2.1277488457449785</v>
          </cell>
          <cell r="J28">
            <v>1.4741181651844584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5.41651913412056E-3</v>
          </cell>
          <cell r="F29">
            <v>3.8637788231454202E-2</v>
          </cell>
          <cell r="G29">
            <v>6.3872109185682095E-4</v>
          </cell>
          <cell r="H29">
            <v>2.28758568357002E-2</v>
          </cell>
          <cell r="I29">
            <v>4.1649047832763103E-2</v>
          </cell>
          <cell r="J29">
            <v>1.29412087494574E-2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4.07353379435757E-2</v>
          </cell>
          <cell r="F30">
            <v>7.9366798973991071E-2</v>
          </cell>
          <cell r="G30">
            <v>7.999555582088011E-2</v>
          </cell>
          <cell r="H30">
            <v>7.4056700208753434E-2</v>
          </cell>
          <cell r="I30">
            <v>7.1790880105837257E-2</v>
          </cell>
          <cell r="J30">
            <v>5.283823408616671E-2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4.3872675358504267</v>
          </cell>
          <cell r="E31">
            <v>5.034275664361922</v>
          </cell>
          <cell r="F31">
            <v>5.2092658519603576</v>
          </cell>
          <cell r="G31">
            <v>4.3635988756800383</v>
          </cell>
          <cell r="H31">
            <v>3.4804543436397202</v>
          </cell>
          <cell r="I31">
            <v>2.7001271364865627</v>
          </cell>
          <cell r="J31">
            <v>1.4269907581318986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6.0934271331255916</v>
          </cell>
          <cell r="E32">
            <v>6.9920495338360089</v>
          </cell>
          <cell r="F32">
            <v>7.2728686534131199</v>
          </cell>
          <cell r="G32">
            <v>6.0151304348040728</v>
          </cell>
          <cell r="H32">
            <v>4.7754211673758791</v>
          </cell>
          <cell r="I32">
            <v>3.6804466240873372</v>
          </cell>
          <cell r="J32">
            <v>1.8858092467576106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5.2637621411119502E-2</v>
          </cell>
          <cell r="F33">
            <v>1.40894821124369E-2</v>
          </cell>
          <cell r="G33">
            <v>6.0001701976115399E-6</v>
          </cell>
          <cell r="H33">
            <v>0.148858073762556</v>
          </cell>
          <cell r="I33">
            <v>6.8268872134265302E-2</v>
          </cell>
          <cell r="J33">
            <v>3.1994797887777999E-3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0.40706401122983077</v>
          </cell>
          <cell r="F34">
            <v>0.42115076347291652</v>
          </cell>
          <cell r="G34">
            <v>0.4211108049366965</v>
          </cell>
          <cell r="H34">
            <v>0.28181272304156546</v>
          </cell>
          <cell r="I34">
            <v>0.21961902417972748</v>
          </cell>
          <cell r="J34">
            <v>0.11570763049401579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0.61232654842610823</v>
          </cell>
          <cell r="J35">
            <v>0.6812803750313271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0.61851166507687727</v>
          </cell>
          <cell r="J36">
            <v>0.68816199498113839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1.7992197827938499E-5</v>
          </cell>
          <cell r="H37">
            <v>5.29424932935146E-5</v>
          </cell>
          <cell r="I37">
            <v>7.4075419918628094E-2</v>
          </cell>
          <cell r="J37">
            <v>2.31108261890313E-3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1.7992197827938499E-5</v>
          </cell>
          <cell r="H38">
            <v>7.0934691121453099E-5</v>
          </cell>
          <cell r="I38">
            <v>7.4146354609749596E-2</v>
          </cell>
          <cell r="J38">
            <v>7.6457437228652697E-2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6.1736155374772199</v>
          </cell>
          <cell r="E39">
            <v>5.2279712568500267</v>
          </cell>
          <cell r="F39">
            <v>6.7954740716128024</v>
          </cell>
          <cell r="G39">
            <v>6.5084223188485115</v>
          </cell>
          <cell r="H39">
            <v>5.7276529687464448</v>
          </cell>
          <cell r="I39">
            <v>4.8630387211704749</v>
          </cell>
          <cell r="J39">
            <v>3.3475511759153287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8.5744660242739226</v>
          </cell>
          <cell r="E40">
            <v>7.2610711900694813</v>
          </cell>
          <cell r="F40">
            <v>10.069284452655683</v>
          </cell>
          <cell r="G40">
            <v>9.6060666162982002</v>
          </cell>
          <cell r="H40">
            <v>8.4536948091823874</v>
          </cell>
          <cell r="I40">
            <v>7.1453071659315377</v>
          </cell>
          <cell r="J40">
            <v>4.7599824851355077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1.3126125075240799E-4</v>
          </cell>
          <cell r="E41">
            <v>1.00361653279643E-4</v>
          </cell>
          <cell r="F41">
            <v>4.7798161312985803E-2</v>
          </cell>
          <cell r="G41">
            <v>3.6075211316188E-5</v>
          </cell>
          <cell r="H41">
            <v>0.27602017262031697</v>
          </cell>
          <cell r="I41">
            <v>9.8440422847636197E-2</v>
          </cell>
          <cell r="J41">
            <v>8.2108869270847207E-2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0.47855153906786441</v>
          </cell>
          <cell r="E42">
            <v>0.47864425585781628</v>
          </cell>
          <cell r="F42">
            <v>0.52643129802286148</v>
          </cell>
          <cell r="G42">
            <v>0.52634695596744452</v>
          </cell>
          <cell r="H42">
            <v>0.44791902829591013</v>
          </cell>
          <cell r="I42">
            <v>0.3829195118442158</v>
          </cell>
          <cell r="J42">
            <v>0.2702931228575805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5.185249597601489</v>
          </cell>
          <cell r="E43">
            <v>5.5677090452185043</v>
          </cell>
          <cell r="F43">
            <v>5.8793007002002549</v>
          </cell>
          <cell r="G43">
            <v>6.375406323532256</v>
          </cell>
          <cell r="H43">
            <v>8.1327420196055229</v>
          </cell>
          <cell r="I43">
            <v>8.0754214232925268</v>
          </cell>
          <cell r="J43">
            <v>9.4782694070504441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5.185249597601489</v>
          </cell>
          <cell r="E44">
            <v>5.5677090452185043</v>
          </cell>
          <cell r="F44">
            <v>5.8793007002002549</v>
          </cell>
          <cell r="G44">
            <v>6.375406323532256</v>
          </cell>
          <cell r="H44">
            <v>8.1327420196055229</v>
          </cell>
          <cell r="I44">
            <v>8.0754214232925268</v>
          </cell>
          <cell r="J44">
            <v>9.4782694070504441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5.6088509880527848</v>
          </cell>
          <cell r="E45">
            <v>6.0096829821632367</v>
          </cell>
          <cell r="F45">
            <v>6.3257294623133511</v>
          </cell>
          <cell r="G45">
            <v>6.8231644023985361</v>
          </cell>
          <cell r="H45">
            <v>8.6580517733357922</v>
          </cell>
          <cell r="I45">
            <v>8.5519598897579936</v>
          </cell>
          <cell r="J45">
            <v>9.9771256916320485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0.30070154707496299</v>
          </cell>
          <cell r="F46">
            <v>0.26040889852599303</v>
          </cell>
          <cell r="G46">
            <v>0.205050837459028</v>
          </cell>
          <cell r="H46">
            <v>0.28338158897140397</v>
          </cell>
          <cell r="I46">
            <v>0.36967203263724302</v>
          </cell>
          <cell r="J46">
            <v>0.48459699005707901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0.50571658157909094</v>
          </cell>
          <cell r="F47">
            <v>0.48056987322272915</v>
          </cell>
          <cell r="G47">
            <v>0.43601106087199903</v>
          </cell>
          <cell r="H47">
            <v>0.46055540266239092</v>
          </cell>
          <cell r="I47">
            <v>0.56759455774984402</v>
          </cell>
          <cell r="J47">
            <v>0.68251460753568594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6.5524271878731E-2</v>
          </cell>
          <cell r="G48">
            <v>0.1963406131523496</v>
          </cell>
          <cell r="H48">
            <v>0.28220121244517066</v>
          </cell>
          <cell r="I48">
            <v>0.44778222163225767</v>
          </cell>
          <cell r="J48">
            <v>0.55541116101873167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6.5589796150609697E-2</v>
          </cell>
          <cell r="G49">
            <v>0.19653695376550204</v>
          </cell>
          <cell r="H49">
            <v>0.28248341365761587</v>
          </cell>
          <cell r="I49">
            <v>0.44823000385388995</v>
          </cell>
          <cell r="J49">
            <v>0.55596657217975054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6.5671379964504395E-2</v>
          </cell>
          <cell r="G50">
            <v>0.19646844625976126</v>
          </cell>
          <cell r="H50">
            <v>0.28227849419690887</v>
          </cell>
          <cell r="I50">
            <v>0.44781799853599746</v>
          </cell>
          <cell r="J50">
            <v>0.55549089760108805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2.7516222829698003E-4</v>
          </cell>
          <cell r="E51">
            <v>2.4087714391671301E-4</v>
          </cell>
          <cell r="F51">
            <v>1.7367675440875599E-2</v>
          </cell>
          <cell r="G51">
            <v>3.4166327537441199E-2</v>
          </cell>
          <cell r="H51">
            <v>2.3194613001234501E-2</v>
          </cell>
          <cell r="I51">
            <v>4.78859906071403E-2</v>
          </cell>
          <cell r="J51">
            <v>6.4361447617039297E-2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2.7516656813704053E-4</v>
          </cell>
          <cell r="E52">
            <v>3.0089131372868492E-5</v>
          </cell>
          <cell r="F52">
            <v>1.7205880458671132E-2</v>
          </cell>
          <cell r="G52">
            <v>5.1057302680974997E-2</v>
          </cell>
          <cell r="H52">
            <v>7.3577792705198125E-2</v>
          </cell>
          <cell r="I52">
            <v>9.6147603053355693E-2</v>
          </cell>
          <cell r="J52">
            <v>0.10807231243866906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5.4722919745918884E-2</v>
          </cell>
          <cell r="F53">
            <v>3.4194417493835089E-3</v>
          </cell>
          <cell r="G53">
            <v>0.16441057041326471</v>
          </cell>
          <cell r="H53">
            <v>0.17518280883366746</v>
          </cell>
          <cell r="I53">
            <v>0.18826841729994523</v>
          </cell>
          <cell r="J53">
            <v>0.21820988630940233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3.2441566801198554</v>
          </cell>
          <cell r="E54">
            <v>3.8271834983213817</v>
          </cell>
          <cell r="F54">
            <v>4.9630346394655369</v>
          </cell>
          <cell r="G54">
            <v>5.8981026393857814</v>
          </cell>
          <cell r="H54">
            <v>6.0641437326656504</v>
          </cell>
          <cell r="I54">
            <v>6.3514152994795117</v>
          </cell>
          <cell r="J54">
            <v>5.7495669418962772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3.082908899073729</v>
          </cell>
          <cell r="E55">
            <v>3.5393268763488424</v>
          </cell>
          <cell r="F55">
            <v>1.6035797939051133</v>
          </cell>
          <cell r="G55">
            <v>2.1572173489483526</v>
          </cell>
          <cell r="H55">
            <v>2.3209061975364316</v>
          </cell>
          <cell r="I55">
            <v>2.5044595268295273</v>
          </cell>
          <cell r="J55">
            <v>2.3857098775142527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2.0131047531767807</v>
          </cell>
          <cell r="E56">
            <v>1.8879617069428996</v>
          </cell>
          <cell r="F56">
            <v>1.723070490059023</v>
          </cell>
          <cell r="G56">
            <v>2.6346427750573715</v>
          </cell>
          <cell r="H56">
            <v>3.0197157449949295</v>
          </cell>
          <cell r="I56">
            <v>3.4769324430318589</v>
          </cell>
          <cell r="J56">
            <v>3.7365714020276655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0.35038320116997812</v>
          </cell>
          <cell r="F57">
            <v>5.8877796156853054E-2</v>
          </cell>
          <cell r="G57">
            <v>0.2576850732650941</v>
          </cell>
          <cell r="H57">
            <v>0.29846840245504824</v>
          </cell>
          <cell r="I57">
            <v>0.3458342880857227</v>
          </cell>
          <cell r="J57">
            <v>0.42544631432208502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9.2189163284720301</v>
          </cell>
          <cell r="E58">
            <v>10.676183546015393</v>
          </cell>
          <cell r="F58">
            <v>9.2102728170518571</v>
          </cell>
          <cell r="G58">
            <v>12.209058898588196</v>
          </cell>
          <cell r="H58">
            <v>13.003351143329136</v>
          </cell>
          <cell r="I58">
            <v>14.033967387605387</v>
          </cell>
          <cell r="J58">
            <v>13.551321454953005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0.62872578402729395</v>
          </cell>
          <cell r="E59">
            <v>9.8494481158043597E-6</v>
          </cell>
          <cell r="F59">
            <v>7.4855704138889197E-6</v>
          </cell>
          <cell r="G59">
            <v>8.5454131953277205E-6</v>
          </cell>
          <cell r="H59">
            <v>5.1768526931827497E-4</v>
          </cell>
          <cell r="I59">
            <v>1.5454269930811299E-2</v>
          </cell>
          <cell r="J59">
            <v>5.90256082814464E-6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0.62872578402729395</v>
          </cell>
          <cell r="E60">
            <v>0.62873563347540995</v>
          </cell>
          <cell r="F60">
            <v>0.62874311904582303</v>
          </cell>
          <cell r="G60">
            <v>0.62875166445901898</v>
          </cell>
          <cell r="H60">
            <v>0.62926934972833704</v>
          </cell>
          <cell r="I60">
            <v>0.64472361965914804</v>
          </cell>
          <cell r="J60">
            <v>0.64472952221997604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1.8477303212783718E-2</v>
          </cell>
          <cell r="E61">
            <v>4.4309731786837123E-3</v>
          </cell>
          <cell r="F61">
            <v>8.2373721841995408E-3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3.4190689301063698E-2</v>
          </cell>
          <cell r="E62">
            <v>7.0231405794334966E-3</v>
          </cell>
          <cell r="F62">
            <v>1.8166152754064382E-2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5.2667992513847454E-2</v>
          </cell>
          <cell r="E63">
            <v>1.1454113758117206E-2</v>
          </cell>
          <cell r="F63">
            <v>2.6264146285527507E-2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73.239122145699255</v>
          </cell>
          <cell r="E64">
            <v>78.57808051542051</v>
          </cell>
          <cell r="F64">
            <v>62.631587545176224</v>
          </cell>
          <cell r="G64">
            <v>60.944788470074066</v>
          </cell>
          <cell r="H64">
            <v>60.171044755783939</v>
          </cell>
          <cell r="I64">
            <v>59.910110111901531</v>
          </cell>
          <cell r="J64">
            <v>58.419332144415137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9.1196048512748433</v>
          </cell>
          <cell r="F65">
            <v>2.3236179549947913</v>
          </cell>
          <cell r="G65">
            <v>4.6907855027135685</v>
          </cell>
          <cell r="H65">
            <v>6.9869374183165025</v>
          </cell>
          <cell r="I65">
            <v>9.1866061577635207</v>
          </cell>
          <cell r="J65">
            <v>13.861943146816269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6.1736155374772199</v>
          </cell>
          <cell r="E66">
            <v>5.2279712568500267</v>
          </cell>
          <cell r="F66">
            <v>6.7954740716128024</v>
          </cell>
          <cell r="G66">
            <v>6.5084223188485115</v>
          </cell>
          <cell r="H66">
            <v>5.7276529687464448</v>
          </cell>
          <cell r="I66">
            <v>4.8630387211704749</v>
          </cell>
          <cell r="J66">
            <v>3.3475511759153287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5.553970815025008</v>
          </cell>
          <cell r="E67">
            <v>6.0159819352655468</v>
          </cell>
          <cell r="F67">
            <v>4.8845488682816356</v>
          </cell>
          <cell r="G67">
            <v>6.306409427354704</v>
          </cell>
          <cell r="H67">
            <v>6.8699997234675649</v>
          </cell>
          <cell r="I67">
            <v>7.6309864554643649</v>
          </cell>
          <cell r="J67">
            <v>7.3759388122050371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2.3941021672557818</v>
          </cell>
          <cell r="E68">
            <v>0.5894863488465153</v>
          </cell>
          <cell r="F68">
            <v>0.52198247446151713</v>
          </cell>
          <cell r="G68">
            <v>0.30399371289949051</v>
          </cell>
          <cell r="H68">
            <v>0.26579349397035462</v>
          </cell>
          <cell r="I68">
            <v>0.2182953395111511</v>
          </cell>
          <cell r="J68">
            <v>0.15819117301309699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1.2231576316855999</v>
          </cell>
          <cell r="E69">
            <v>1.3408440109024429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4.2612733487174257</v>
          </cell>
          <cell r="E70">
            <v>4.6177026750116514</v>
          </cell>
          <cell r="F70">
            <v>4.74113573310352</v>
          </cell>
          <cell r="G70">
            <v>8.1723585314036349</v>
          </cell>
          <cell r="H70">
            <v>11.580811078163673</v>
          </cell>
          <cell r="I70">
            <v>15.846859245947499</v>
          </cell>
          <cell r="J70">
            <v>18.489094377097949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1.8771506481142195</v>
          </cell>
          <cell r="E71">
            <v>2.1601257705803349</v>
          </cell>
          <cell r="F71">
            <v>0.36389940041924101</v>
          </cell>
          <cell r="G71">
            <v>0.47075826318942304</v>
          </cell>
          <cell r="H71">
            <v>0.55067018125800105</v>
          </cell>
          <cell r="I71">
            <v>0.71175550133104226</v>
          </cell>
          <cell r="J71">
            <v>0.73431783870908807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0.68572188469556261</v>
          </cell>
          <cell r="E72">
            <v>0.74279796427719036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0.62710216400420538</v>
          </cell>
          <cell r="E73">
            <v>0.68743569104213953</v>
          </cell>
          <cell r="F73">
            <v>0.55478229561784964</v>
          </cell>
          <cell r="G73">
            <v>0.60824688262900894</v>
          </cell>
          <cell r="H73">
            <v>0.66065678979764697</v>
          </cell>
          <cell r="I73">
            <v>0.73659841905204093</v>
          </cell>
          <cell r="J73">
            <v>0.77794964257147836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24.189797043386285</v>
          </cell>
          <cell r="E74">
            <v>25.32358573032193</v>
          </cell>
          <cell r="F74">
            <v>19.399026731304602</v>
          </cell>
          <cell r="G74">
            <v>14.580020031693589</v>
          </cell>
          <cell r="H74">
            <v>9.764843973041673</v>
          </cell>
          <cell r="I74">
            <v>5.1984716653405085</v>
          </cell>
          <cell r="J74">
            <v>1.9492260961283017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2.3714014555608292</v>
          </cell>
          <cell r="G75">
            <v>6.6218235767430116</v>
          </cell>
          <cell r="H75">
            <v>8.6335229326786376</v>
          </cell>
          <cell r="I75">
            <v>11.067669503073887</v>
          </cell>
          <cell r="J75">
            <v>11.37915937598788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1.4101242347924117</v>
          </cell>
          <cell r="E76">
            <v>1.5274224691406926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24.84310667054552</v>
          </cell>
          <cell r="E77">
            <v>21.225121811907183</v>
          </cell>
          <cell r="F77">
            <v>20.675718559819455</v>
          </cell>
          <cell r="G77">
            <v>12.681970222599137</v>
          </cell>
          <cell r="H77">
            <v>9.1301561963433819</v>
          </cell>
          <cell r="I77">
            <v>4.4498291032470156</v>
          </cell>
          <cell r="J77">
            <v>0.34596050597075112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2.503876265760728E-3</v>
          </cell>
          <cell r="E78">
            <v>3.3962515696796028E-3</v>
          </cell>
          <cell r="F78">
            <v>1.3222689614160978E-2</v>
          </cell>
          <cell r="G78">
            <v>5.9731188508299095E-3</v>
          </cell>
          <cell r="H78">
            <v>1.1930604466768807E-2</v>
          </cell>
          <cell r="I78">
            <v>8.0468123511892777E-3</v>
          </cell>
          <cell r="J78">
            <v>6.3207132655893903E-3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2.503876265760728E-3</v>
          </cell>
          <cell r="E79">
            <v>3.3962515696796028E-3</v>
          </cell>
          <cell r="F79">
            <v>1.7047771240567819E-2</v>
          </cell>
          <cell r="G79">
            <v>7.2296294907607909E-3</v>
          </cell>
          <cell r="H79">
            <v>1.3928123361055695E-2</v>
          </cell>
          <cell r="I79">
            <v>9.3952437571689622E-3</v>
          </cell>
          <cell r="J79">
            <v>7.0233320951690629E-3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4.9957268332593001E-2</v>
          </cell>
          <cell r="E80">
            <v>1.38977530167136E-4</v>
          </cell>
          <cell r="F80">
            <v>7.8119803948069799E-4</v>
          </cell>
          <cell r="G80">
            <v>4.2488482811906702E-4</v>
          </cell>
          <cell r="H80">
            <v>1.2699259219369999E-3</v>
          </cell>
          <cell r="I80">
            <v>7.9556940892073201E-4</v>
          </cell>
          <cell r="J80">
            <v>6.64738900462291E-4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4.9957268332593001E-2</v>
          </cell>
          <cell r="E81">
            <v>4.7940433746219979E-4</v>
          </cell>
          <cell r="F81">
            <v>1.3192607518179994E-3</v>
          </cell>
          <cell r="G81">
            <v>6.6506331555400006E-4</v>
          </cell>
          <cell r="H81">
            <v>1.1784807806165011E-3</v>
          </cell>
          <cell r="I81">
            <v>8.2847505958030029E-4</v>
          </cell>
          <cell r="J81">
            <v>4.5418559768590008E-4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0.27780447798033869</v>
          </cell>
          <cell r="F82">
            <v>0.28552025423626026</v>
          </cell>
          <cell r="G82">
            <v>0.29610670964392505</v>
          </cell>
          <cell r="H82">
            <v>0.29234907920480552</v>
          </cell>
          <cell r="I82">
            <v>0.40489169987147122</v>
          </cell>
          <cell r="J82">
            <v>0.60951151805616266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0.27785030151261425</v>
          </cell>
          <cell r="F83">
            <v>0.28556553225029402</v>
          </cell>
          <cell r="G83">
            <v>0.29614144342672166</v>
          </cell>
          <cell r="H83">
            <v>0.29238802132402597</v>
          </cell>
          <cell r="I83">
            <v>0.40492333992947027</v>
          </cell>
          <cell r="J83">
            <v>0.60954315811416271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1.1037606942539E-2</v>
          </cell>
          <cell r="F84">
            <v>1.77831567011025E-4</v>
          </cell>
          <cell r="G84">
            <v>7.9573374059947898E-5</v>
          </cell>
          <cell r="H84">
            <v>2.7690927611961902E-4</v>
          </cell>
          <cell r="I84">
            <v>9.8535651836498105E-3</v>
          </cell>
          <cell r="J84">
            <v>1.53258847043296E-2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1.1037606942539E-2</v>
          </cell>
          <cell r="F85">
            <v>1.1201231770979274E-2</v>
          </cell>
          <cell r="G85">
            <v>1.1255768168051876E-2</v>
          </cell>
          <cell r="H85">
            <v>1.1489043615226929E-2</v>
          </cell>
          <cell r="I85">
            <v>1.6008453844096861E-2</v>
          </cell>
          <cell r="J85">
            <v>2.538763699219182E-2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1.4581196467108763E-2</v>
          </cell>
          <cell r="E86">
            <v>5.6129048253401946E-4</v>
          </cell>
          <cell r="F86">
            <v>3.6922729058987921E-3</v>
          </cell>
          <cell r="G86">
            <v>2.7279336995268043E-4</v>
          </cell>
          <cell r="H86">
            <v>3.0388849980771739E-4</v>
          </cell>
          <cell r="I86">
            <v>3.2502785712555589E-4</v>
          </cell>
          <cell r="J86">
            <v>2.2127738846700276E-4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>
            <v>4.3993282120330925E-6</v>
          </cell>
          <cell r="F87">
            <v>8.1770661582516199E-6</v>
          </cell>
          <cell r="G87">
            <v>2.0942554975015999E-5</v>
          </cell>
          <cell r="H87">
            <v>3.3484110389001007E-5</v>
          </cell>
          <cell r="I87">
            <v>1.0237643770347558E-4</v>
          </cell>
          <cell r="J87">
            <v>1.1692907230918055E-4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5.3826986452792325E-2</v>
          </cell>
          <cell r="E88">
            <v>2.0700570673417955E-2</v>
          </cell>
          <cell r="F88">
            <v>1.7180235264738785E-2</v>
          </cell>
          <cell r="G88">
            <v>1.57378663147612E-4</v>
          </cell>
          <cell r="H88">
            <v>7.5420589469897271E-5</v>
          </cell>
          <cell r="I88">
            <v>7.1592593799875103E-5</v>
          </cell>
          <cell r="J88">
            <v>6.29551328757007E-5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6.8408182919901139E-2</v>
          </cell>
          <cell r="E89">
            <v>2.1266804699343653E-2</v>
          </cell>
          <cell r="F89">
            <v>2.0880685236795836E-2</v>
          </cell>
          <cell r="G89">
            <v>4.5111458807530836E-4</v>
          </cell>
          <cell r="H89">
            <v>4.1279319966661528E-4</v>
          </cell>
          <cell r="I89">
            <v>4.989968886289066E-4</v>
          </cell>
          <cell r="J89">
            <v>4.0116159365188398E-4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3.5601573608479287</v>
          </cell>
          <cell r="E90">
            <v>3.4647541095190793</v>
          </cell>
          <cell r="F90">
            <v>0.12899021100237884</v>
          </cell>
          <cell r="G90">
            <v>4.382933590500058E-3</v>
          </cell>
          <cell r="H90">
            <v>3.876612328033311E-2</v>
          </cell>
          <cell r="I90">
            <v>6.0437062319505354E-3</v>
          </cell>
          <cell r="J90">
            <v>3.5054025893484758E-5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330.02658735060299</v>
          </cell>
          <cell r="E91">
            <v>321.18270595241898</v>
          </cell>
          <cell r="F91">
            <v>11.9573925599205</v>
          </cell>
          <cell r="G91">
            <v>0.40629794383935502</v>
          </cell>
          <cell r="H91">
            <v>3.5936196280868802</v>
          </cell>
          <cell r="I91">
            <v>0.56025156770181495</v>
          </cell>
          <cell r="J91">
            <v>3.24950820032604E-3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3.5601573608479287</v>
          </cell>
          <cell r="E92">
            <v>3.4647541095190793</v>
          </cell>
          <cell r="F92">
            <v>0.12899021100237884</v>
          </cell>
          <cell r="G92">
            <v>4.382933590500058E-3</v>
          </cell>
          <cell r="H92">
            <v>3.876612328033311E-2</v>
          </cell>
          <cell r="I92">
            <v>6.0437062319505354E-3</v>
          </cell>
          <cell r="J92">
            <v>3.5054025893484758E-5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7.1975525833996926E-2</v>
          </cell>
          <cell r="E93">
            <v>0.78083387731223763</v>
          </cell>
          <cell r="F93">
            <v>0.60713207917911105</v>
          </cell>
          <cell r="G93">
            <v>3.1450545735356465</v>
          </cell>
          <cell r="H93">
            <v>3.9194101336383964</v>
          </cell>
          <cell r="I93">
            <v>3.9216028316968656</v>
          </cell>
          <cell r="J93">
            <v>4.2473246456801013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7.1975525833996926E-2</v>
          </cell>
          <cell r="E94">
            <v>0.78083387731223763</v>
          </cell>
          <cell r="F94">
            <v>0.60713207917911105</v>
          </cell>
          <cell r="G94">
            <v>3.1450545735356465</v>
          </cell>
          <cell r="H94">
            <v>3.9194101336383964</v>
          </cell>
          <cell r="I94">
            <v>3.9216028316968656</v>
          </cell>
          <cell r="J94">
            <v>4.2473246456801013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2.7554077799323999E-2</v>
          </cell>
          <cell r="E95">
            <v>2.75539786011396E-2</v>
          </cell>
          <cell r="F95">
            <v>1.5861925378405399E-5</v>
          </cell>
          <cell r="G95">
            <v>0.167309286646081</v>
          </cell>
          <cell r="H95">
            <v>5.4666705336085801E-2</v>
          </cell>
          <cell r="I95">
            <v>9.2930100134385395E-5</v>
          </cell>
          <cell r="J95">
            <v>4.82592919409289E-2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2.7554077799323999E-2</v>
          </cell>
          <cell r="E96">
            <v>5.5107840083491753E-2</v>
          </cell>
          <cell r="F96">
            <v>5.5117544417588933E-2</v>
          </cell>
          <cell r="G96">
            <v>0.22242831932891682</v>
          </cell>
          <cell r="H96">
            <v>0.27709351912554098</v>
          </cell>
          <cell r="I96">
            <v>0.27718653198535376</v>
          </cell>
          <cell r="J96">
            <v>0.30008328102472692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4.6282832699191712</v>
          </cell>
          <cell r="E97">
            <v>3.1639894046457111</v>
          </cell>
          <cell r="F97">
            <v>3.7731573357621936E-2</v>
          </cell>
          <cell r="G97">
            <v>1.2481596664829309E-2</v>
          </cell>
          <cell r="H97">
            <v>3.929032895859089E-3</v>
          </cell>
          <cell r="I97">
            <v>3.1834263174253742E-3</v>
          </cell>
          <cell r="J97">
            <v>3.4813266591810668E-3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4.8718771262307055</v>
          </cell>
          <cell r="E98">
            <v>3.330515162784959</v>
          </cell>
          <cell r="F98">
            <v>4.1041417219887612E-2</v>
          </cell>
          <cell r="G98">
            <v>1.3576492330080321E-2</v>
          </cell>
          <cell r="H98">
            <v>4.2235548590355797E-3</v>
          </cell>
          <cell r="I98">
            <v>3.422057296978637E-3</v>
          </cell>
          <cell r="J98">
            <v>3.7422883740094869E-3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3.5902932955284299E-5</v>
          </cell>
          <cell r="E99">
            <v>8.1008534575081908E-6</v>
          </cell>
          <cell r="F99">
            <v>6.0817118223816303E-6</v>
          </cell>
          <cell r="G99">
            <v>1.2117004303629501E-5</v>
          </cell>
          <cell r="H99">
            <v>9.8304288285879705E-5</v>
          </cell>
          <cell r="I99">
            <v>3.25932083169807E-4</v>
          </cell>
          <cell r="J99">
            <v>1.46378505719233E-4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0.32683704688129428</v>
          </cell>
          <cell r="E100">
            <v>0.32672591689224684</v>
          </cell>
          <cell r="F100">
            <v>5.0356995806931093E-3</v>
          </cell>
          <cell r="G100">
            <v>1.6487051827047683E-3</v>
          </cell>
          <cell r="H100">
            <v>5.0063601646342659E-4</v>
          </cell>
          <cell r="I100">
            <v>4.0750387523822974E-4</v>
          </cell>
          <cell r="J100">
            <v>4.0830259916791362E-4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2.73810764560535E-3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2.73810764560535E-3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2.7657652985912645E-3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3.1589238110498099E-3</v>
          </cell>
          <cell r="F104">
            <v>1.7031327440453501E-3</v>
          </cell>
          <cell r="G104">
            <v>1.38972660042193E-3</v>
          </cell>
          <cell r="H104">
            <v>1.38606852689293E-3</v>
          </cell>
          <cell r="I104">
            <v>5.6475155823155305E-4</v>
          </cell>
          <cell r="J104">
            <v>4.0681763708660699E-7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3.1589238110498099E-3</v>
          </cell>
          <cell r="F105">
            <v>2.6261163918423203E-3</v>
          </cell>
          <cell r="G105">
            <v>2.5708940860903703E-3</v>
          </cell>
          <cell r="H105">
            <v>2.4709432951140501E-3</v>
          </cell>
          <cell r="I105">
            <v>1.12663790048899E-3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9.5902993517197388E-2</v>
          </cell>
          <cell r="E106">
            <v>1.2158535173980933</v>
          </cell>
          <cell r="F106">
            <v>1.021591906498738</v>
          </cell>
          <cell r="G106">
            <v>1.2152891119430846</v>
          </cell>
          <cell r="H106">
            <v>3.2461214367682589</v>
          </cell>
          <cell r="I106">
            <v>4.0241320610343436</v>
          </cell>
          <cell r="J106">
            <v>6.6151209805285012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9.5902993517197388E-2</v>
          </cell>
          <cell r="E107">
            <v>1.2158535173980933</v>
          </cell>
          <cell r="F107">
            <v>1.021591906498738</v>
          </cell>
          <cell r="G107">
            <v>1.2152891119430846</v>
          </cell>
          <cell r="H107">
            <v>3.2461214367682589</v>
          </cell>
          <cell r="I107">
            <v>4.0241320610343436</v>
          </cell>
          <cell r="J107">
            <v>6.6151209805285012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4.2914582724294E-2</v>
          </cell>
          <cell r="E108">
            <v>4.2914426077495203E-2</v>
          </cell>
          <cell r="F108">
            <v>1.29965655238573E-5</v>
          </cell>
          <cell r="G108">
            <v>3.0880596106192801E-4</v>
          </cell>
          <cell r="H108">
            <v>0.143396957494276</v>
          </cell>
          <cell r="I108">
            <v>5.4885756552527198E-2</v>
          </cell>
          <cell r="J108">
            <v>0.222336754444765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4.2914582724294E-2</v>
          </cell>
          <cell r="E109">
            <v>8.5828781884561944E-2</v>
          </cell>
          <cell r="F109">
            <v>8.5835484449639052E-2</v>
          </cell>
          <cell r="G109">
            <v>8.6146017598271521E-2</v>
          </cell>
          <cell r="H109">
            <v>0.2295414799703529</v>
          </cell>
          <cell r="I109">
            <v>0.28442720145601996</v>
          </cell>
          <cell r="J109">
            <v>0.46726456702504393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3.159057308536467E-2</v>
          </cell>
          <cell r="E110">
            <v>3.5698471880815786E-3</v>
          </cell>
          <cell r="F110">
            <v>3.746039049131953E-2</v>
          </cell>
          <cell r="G110">
            <v>8.8437381385151833E-4</v>
          </cell>
          <cell r="H110">
            <v>9.6528336009872747E-4</v>
          </cell>
          <cell r="I110">
            <v>9.4494491353199351E-4</v>
          </cell>
          <cell r="J110">
            <v>5.0783905214985003E-4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7.1630431747877251E-4</v>
          </cell>
          <cell r="E111">
            <v>2.1779361685312748E-4</v>
          </cell>
          <cell r="F111">
            <v>6.8672549433950291E-5</v>
          </cell>
          <cell r="G111">
            <v>1.4734579189417559E-4</v>
          </cell>
          <cell r="H111">
            <v>1.2242830786353431E-4</v>
          </cell>
          <cell r="I111">
            <v>1.1899842625141383E-4</v>
          </cell>
          <cell r="J111">
            <v>7.3202192594237862E-5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6.3299589391340664E-4</v>
          </cell>
          <cell r="E112">
            <v>1.0760778197992141E-4</v>
          </cell>
          <cell r="F112">
            <v>6.4390076225150661E-5</v>
          </cell>
          <cell r="G112">
            <v>1.1367041961808162E-4</v>
          </cell>
          <cell r="H112">
            <v>1.0537627526771117E-4</v>
          </cell>
          <cell r="I112">
            <v>1.5284159793656086E-4</v>
          </cell>
          <cell r="J112">
            <v>7.524300828747216E-5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5.382490178127686E-4</v>
          </cell>
          <cell r="E113">
            <v>1.4868872976468454E-4</v>
          </cell>
          <cell r="F113">
            <v>7.1914984971815118E-5</v>
          </cell>
          <cell r="G113">
            <v>6.7755334321466267E-5</v>
          </cell>
          <cell r="H113">
            <v>1.5292889127553199E-4</v>
          </cell>
          <cell r="I113">
            <v>1.8184781027314094E-4</v>
          </cell>
          <cell r="J113">
            <v>7.2314456069522899E-5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1.9763307501503534E-4</v>
          </cell>
          <cell r="E114">
            <v>1.7424416835493364E-4</v>
          </cell>
          <cell r="F114">
            <v>7.6237024782632945E-5</v>
          </cell>
          <cell r="G114">
            <v>1.174115127308193E-4</v>
          </cell>
          <cell r="H114">
            <v>6.5423001031919898E-5</v>
          </cell>
          <cell r="I114">
            <v>1.0780140517809619E-4</v>
          </cell>
          <cell r="J114">
            <v>1.0774327398804972E-5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1.5117944800488515E-2</v>
          </cell>
          <cell r="E115">
            <v>6.690006232687902E-4</v>
          </cell>
          <cell r="F115">
            <v>1.999894059116716E-2</v>
          </cell>
          <cell r="G115">
            <v>1.1547379233059459E-4</v>
          </cell>
          <cell r="H115">
            <v>2.1236200541927582E-4</v>
          </cell>
          <cell r="I115">
            <v>8.4181842392626086E-5</v>
          </cell>
          <cell r="J115">
            <v>4.3382019983541174E-5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5.2522698576197471E-4</v>
          </cell>
          <cell r="E116"/>
          <cell r="F116"/>
          <cell r="G116">
            <v>7.5679727935820039E-5</v>
          </cell>
          <cell r="H116">
            <v>1.1058217858977702E-4</v>
          </cell>
          <cell r="I116">
            <v>1.51149038985125E-4</v>
          </cell>
          <cell r="J116">
            <v>6.2929794167410267E-5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1.3494894570082204E-2</v>
          </cell>
          <cell r="E117">
            <v>4.1609431206916157E-4</v>
          </cell>
          <cell r="F117">
            <v>1.7180235264738785E-2</v>
          </cell>
          <cell r="G117">
            <v>1.57378663147612E-4</v>
          </cell>
          <cell r="H117">
            <v>7.5420589469897271E-5</v>
          </cell>
          <cell r="I117">
            <v>7.1592593799875103E-5</v>
          </cell>
          <cell r="J117">
            <v>6.29551328757007E-5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3.6732442481197361E-4</v>
          </cell>
          <cell r="E118">
            <v>1.8364179557909587E-3</v>
          </cell>
          <cell r="F118"/>
          <cell r="G118">
            <v>8.9658571872949089E-5</v>
          </cell>
          <cell r="H118">
            <v>1.207621111810801E-4</v>
          </cell>
          <cell r="I118">
            <v>7.6532198715155379E-5</v>
          </cell>
          <cell r="J118">
            <v>1.0703812077315995E-4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2.4561590242110201E-4</v>
          </cell>
          <cell r="H119">
            <v>4.36209980102007E-4</v>
          </cell>
          <cell r="I119">
            <v>2.7334408448424302E-4</v>
          </cell>
          <cell r="J119">
            <v>1.4839214157210599E-4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2.4561590242110201E-4</v>
          </cell>
          <cell r="H120">
            <v>5.5898135137044203E-4</v>
          </cell>
          <cell r="I120">
            <v>4.9315887062002404E-4</v>
          </cell>
          <cell r="J120">
            <v>2.5098415085321598E-4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7.1630431747877251E-4</v>
          </cell>
          <cell r="E121">
            <v>2.1779361685312748E-4</v>
          </cell>
          <cell r="F121">
            <v>6.8672549433950291E-5</v>
          </cell>
          <cell r="G121">
            <v>1.4734579189417559E-4</v>
          </cell>
          <cell r="H121">
            <v>1.2242830786353431E-4</v>
          </cell>
          <cell r="I121">
            <v>1.1899842625141383E-4</v>
          </cell>
          <cell r="J121">
            <v>7.3202192594237862E-5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2.163223388788832E-4</v>
          </cell>
          <cell r="E122">
            <v>3.3604900885971509E-4</v>
          </cell>
          <cell r="F122">
            <v>1.6324191380573413E-4</v>
          </cell>
          <cell r="G122">
            <v>2.8283506635738063E-4</v>
          </cell>
          <cell r="H122">
            <v>2.5698578563270949E-4</v>
          </cell>
          <cell r="I122">
            <v>3.2533341276887385E-4</v>
          </cell>
          <cell r="J122">
            <v>2.6393736328166734E-4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>
            <v>9.7386470648794632E-6</v>
          </cell>
          <cell r="F123">
            <v>9.6417139464393889E-6</v>
          </cell>
          <cell r="G123">
            <v>2.0961161426705436E-5</v>
          </cell>
          <cell r="H123">
            <v>3.4685672669246948E-5</v>
          </cell>
          <cell r="I123">
            <v>1.0667807878098366E-4</v>
          </cell>
          <cell r="J123">
            <v>1.2376845222450186E-4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9.3262665635765539E-4</v>
          </cell>
          <cell r="E124">
            <v>5.6358127277772181E-4</v>
          </cell>
          <cell r="F124">
            <v>2.4155617718612388E-4</v>
          </cell>
          <cell r="G124">
            <v>4.5114201967826149E-4</v>
          </cell>
          <cell r="H124">
            <v>4.1409976616549083E-4</v>
          </cell>
          <cell r="I124">
            <v>5.5100991780127192E-4</v>
          </cell>
          <cell r="J124">
            <v>4.6090800810040695E-4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3.0520798100829905</v>
          </cell>
          <cell r="E125">
            <v>3.5039336075853558</v>
          </cell>
          <cell r="F125">
            <v>1.4312378975475606</v>
          </cell>
          <cell r="G125">
            <v>1.9305270106924444</v>
          </cell>
          <cell r="H125">
            <v>2.0766085873696731</v>
          </cell>
          <cell r="I125">
            <v>2.242861161215592</v>
          </cell>
          <cell r="J125">
            <v>2.1428120875963987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3.0520798100829905</v>
          </cell>
          <cell r="E126">
            <v>3.5039336075853558</v>
          </cell>
          <cell r="F126">
            <v>1.4312378975475606</v>
          </cell>
          <cell r="G126">
            <v>1.9305270106924444</v>
          </cell>
          <cell r="H126">
            <v>2.0766085873696731</v>
          </cell>
          <cell r="I126">
            <v>2.242861161215592</v>
          </cell>
          <cell r="J126">
            <v>2.1428120875963987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3.082908899073729</v>
          </cell>
          <cell r="E127">
            <v>3.5393268763488424</v>
          </cell>
          <cell r="F127">
            <v>1.6035797939051133</v>
          </cell>
          <cell r="G127">
            <v>2.1572173489483526</v>
          </cell>
          <cell r="H127">
            <v>2.3209061975364316</v>
          </cell>
          <cell r="I127">
            <v>2.5044595268295273</v>
          </cell>
          <cell r="J127">
            <v>2.3857098775142527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0.18894577648989599</v>
          </cell>
          <cell r="F128">
            <v>7.6270209109688805E-2</v>
          </cell>
          <cell r="G128">
            <v>8.2409720931230904E-2</v>
          </cell>
          <cell r="H128">
            <v>8.26570641775453E-2</v>
          </cell>
          <cell r="I128">
            <v>9.0343842235201102E-2</v>
          </cell>
          <cell r="J128">
            <v>9.9391825924152202E-2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0.29006606886265796</v>
          </cell>
          <cell r="F129">
            <v>0.15305630533446796</v>
          </cell>
          <cell r="G129">
            <v>0.16766197948868805</v>
          </cell>
          <cell r="H129">
            <v>0.1752213798598381</v>
          </cell>
          <cell r="I129">
            <v>0.18524918535054302</v>
          </cell>
          <cell r="J129">
            <v>0.18874869527183302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8.281758535945255E-2</v>
          </cell>
          <cell r="E130">
            <v>0.97706756219146451</v>
          </cell>
          <cell r="F130">
            <v>0.80669534326030057</v>
          </cell>
          <cell r="G130">
            <v>0.97283210418358002</v>
          </cell>
          <cell r="H130">
            <v>0.97335354898032533</v>
          </cell>
          <cell r="I130">
            <v>2.7540199085623871</v>
          </cell>
          <cell r="J130">
            <v>4.8374010894736088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8.281758535945255E-2</v>
          </cell>
          <cell r="E131">
            <v>0.97706756219146451</v>
          </cell>
          <cell r="F131">
            <v>0.80669534326030057</v>
          </cell>
          <cell r="G131">
            <v>0.97283210418358002</v>
          </cell>
          <cell r="H131">
            <v>0.97335354898032533</v>
          </cell>
          <cell r="I131">
            <v>2.7540199085623871</v>
          </cell>
          <cell r="J131">
            <v>4.8374010894736088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3.44828029025364E-2</v>
          </cell>
          <cell r="E132">
            <v>3.4483310306072802E-2</v>
          </cell>
          <cell r="F132">
            <v>4.0228898601965999E-6</v>
          </cell>
          <cell r="G132">
            <v>1.25149362788056E-5</v>
          </cell>
          <cell r="H132">
            <v>2.0605813969583701E-5</v>
          </cell>
          <cell r="I132">
            <v>0.12569516402259601</v>
          </cell>
          <cell r="J132">
            <v>0.17870122958978199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3.44828029025364E-2</v>
          </cell>
          <cell r="E133">
            <v>6.8965892995784595E-2</v>
          </cell>
          <cell r="F133">
            <v>6.8963928327583648E-2</v>
          </cell>
          <cell r="G133">
            <v>6.8978422550085849E-2</v>
          </cell>
          <cell r="H133">
            <v>6.8997873634616139E-2</v>
          </cell>
          <cell r="I133">
            <v>0.19469310940270532</v>
          </cell>
          <cell r="J133">
            <v>0.34165753324441173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54.257553456478611</v>
          </cell>
          <cell r="E134">
            <v>54.970622629465694</v>
          </cell>
          <cell r="F134">
            <v>58.224173378107487</v>
          </cell>
          <cell r="G134">
            <v>54.703110916728427</v>
          </cell>
          <cell r="H134">
            <v>54.108802217925351</v>
          </cell>
          <cell r="I134">
            <v>53.381993764697313</v>
          </cell>
          <cell r="J134">
            <v>49.953973699467873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12.049824699378709</v>
          </cell>
          <cell r="E135">
            <v>14.511656261640704</v>
          </cell>
          <cell r="F135">
            <v>14.906466105331445</v>
          </cell>
          <cell r="G135">
            <v>17.483126436734754</v>
          </cell>
          <cell r="H135">
            <v>17.556556300861615</v>
          </cell>
          <cell r="I135">
            <v>16.392398476788372</v>
          </cell>
          <cell r="J135">
            <v>15.533374746982915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15.818429745570063</v>
          </cell>
          <cell r="E136">
            <v>13.326840319239121</v>
          </cell>
          <cell r="F136">
            <v>13.886037341456202</v>
          </cell>
          <cell r="G136">
            <v>12.208743836739105</v>
          </cell>
          <cell r="H136">
            <v>12.075681821320245</v>
          </cell>
          <cell r="I136">
            <v>10.585699944112378</v>
          </cell>
          <cell r="J136">
            <v>9.907938061748748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11.292225992114544</v>
          </cell>
          <cell r="E137">
            <v>14.491193975532033</v>
          </cell>
          <cell r="F137">
            <v>15.342351321407831</v>
          </cell>
          <cell r="G137">
            <v>13.314467550784496</v>
          </cell>
          <cell r="H137">
            <v>13.150485985767379</v>
          </cell>
          <cell r="I137">
            <v>14.401510446869686</v>
          </cell>
          <cell r="J137">
            <v>13.298231865883855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15.097720182607391</v>
          </cell>
          <cell r="E138">
            <v>12.641465639973545</v>
          </cell>
          <cell r="F138">
            <v>14.089318609912027</v>
          </cell>
          <cell r="G138">
            <v>11.69677309247008</v>
          </cell>
          <cell r="H138">
            <v>11.326078109976097</v>
          </cell>
          <cell r="I138">
            <v>12.0023848969269</v>
          </cell>
          <cell r="J138">
            <v>11.214429024852341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5.553970815025008</v>
          </cell>
          <cell r="E139">
            <v>6.0159819352655468</v>
          </cell>
          <cell r="F139">
            <v>4.8845488682816356</v>
          </cell>
          <cell r="G139">
            <v>6.306409427354704</v>
          </cell>
          <cell r="H139">
            <v>6.8699997234675649</v>
          </cell>
          <cell r="I139">
            <v>7.6309864554643649</v>
          </cell>
          <cell r="J139">
            <v>7.3759388122050371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5.553970815025008</v>
          </cell>
          <cell r="E140">
            <v>6.0159819352655468</v>
          </cell>
          <cell r="F140">
            <v>4.8845488682816356</v>
          </cell>
          <cell r="G140">
            <v>6.306409427354704</v>
          </cell>
          <cell r="H140">
            <v>6.8699997234675649</v>
          </cell>
          <cell r="I140">
            <v>7.6309864554643649</v>
          </cell>
          <cell r="J140">
            <v>7.3759388122050371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5.6100715303282938</v>
          </cell>
          <cell r="E141">
            <v>6.0767494295611515</v>
          </cell>
          <cell r="F141">
            <v>5.9482898181497221</v>
          </cell>
          <cell r="G141">
            <v>7.6471325057742057</v>
          </cell>
          <cell r="H141">
            <v>8.3305403502838278</v>
          </cell>
          <cell r="I141">
            <v>9.2533105005175731</v>
          </cell>
          <cell r="J141">
            <v>8.9440405195947381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4.9179264291370999E-7</v>
          </cell>
          <cell r="E142">
            <v>0.40110089840556701</v>
          </cell>
          <cell r="F142">
            <v>0.29113525651151001</v>
          </cell>
          <cell r="G142">
            <v>0.393180100792347</v>
          </cell>
          <cell r="H142">
            <v>0.47232729893897102</v>
          </cell>
          <cell r="I142">
            <v>0.45361815719964599</v>
          </cell>
          <cell r="J142">
            <v>0.549926880787309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0.84970074472284796</v>
          </cell>
          <cell r="E143">
            <v>0.83331592491419304</v>
          </cell>
          <cell r="F143">
            <v>0.61553296141679292</v>
          </cell>
          <cell r="G143">
            <v>0.7819012951691251</v>
          </cell>
          <cell r="H143">
            <v>0.84966742867751699</v>
          </cell>
          <cell r="I143">
            <v>0.84969457727188691</v>
          </cell>
          <cell r="J143">
            <v>0.84971684033085104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3.8537396151990981E-4</v>
          </cell>
          <cell r="E144">
            <v>3.574975765526597E-4</v>
          </cell>
          <cell r="F144">
            <v>0.19944297676150913</v>
          </cell>
          <cell r="G144">
            <v>6.7390851525743645E-2</v>
          </cell>
          <cell r="H144">
            <v>8.9341664793893133E-2</v>
          </cell>
          <cell r="I144">
            <v>0.72783965314537347</v>
          </cell>
          <cell r="J144">
            <v>1.0340403128656204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5.2502663195906488E-4</v>
          </cell>
          <cell r="E145">
            <v>3.9846227200896389E-4</v>
          </cell>
          <cell r="F145">
            <v>0.25739585435286033</v>
          </cell>
          <cell r="G145">
            <v>8.4148005580677615E-2</v>
          </cell>
          <cell r="H145">
            <v>0.10822765452173616</v>
          </cell>
          <cell r="I145">
            <v>0.85638950858873042</v>
          </cell>
          <cell r="J145">
            <v>1.1490423249118245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3.3229232952013597E-2</v>
          </cell>
          <cell r="E146">
            <v>0.14392754461728599</v>
          </cell>
          <cell r="F146">
            <v>3.4601676114824498E-3</v>
          </cell>
          <cell r="G146">
            <v>6.0593988126316597E-2</v>
          </cell>
          <cell r="H146">
            <v>0.11769700433543399</v>
          </cell>
          <cell r="I146">
            <v>9.2419657074161499E-2</v>
          </cell>
          <cell r="J146">
            <v>0.14468171540473401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3.3229232952013597E-2</v>
          </cell>
          <cell r="E147">
            <v>0.17703383581606147</v>
          </cell>
          <cell r="F147">
            <v>0.18043261937794172</v>
          </cell>
          <cell r="G147">
            <v>0.24102755026452249</v>
          </cell>
          <cell r="H147">
            <v>0.26380477923440543</v>
          </cell>
          <cell r="I147">
            <v>0.25199220208615897</v>
          </cell>
          <cell r="J147">
            <v>0.2614405987531972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3.7869871008209828E-2</v>
          </cell>
          <cell r="E148">
            <v>1.535965766169475E-2</v>
          </cell>
          <cell r="F148">
            <v>1.837966981124671E-2</v>
          </cell>
          <cell r="G148">
            <v>1.075403946433059E-2</v>
          </cell>
          <cell r="H148">
            <v>2.4012101014010485E-2</v>
          </cell>
          <cell r="I148">
            <v>0.91125728065662159</v>
          </cell>
          <cell r="J148">
            <v>0.85835446602188115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2.8017538147637557</v>
          </cell>
          <cell r="E149">
            <v>3.279152931785434</v>
          </cell>
          <cell r="F149">
            <v>9.9421092880579938</v>
          </cell>
          <cell r="G149">
            <v>17.640755068060738</v>
          </cell>
          <cell r="H149">
            <v>18.780767368076912</v>
          </cell>
          <cell r="I149">
            <v>39.416485248204815</v>
          </cell>
          <cell r="J149">
            <v>42.079460016584527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3.2944605147353974</v>
          </cell>
          <cell r="F150">
            <v>9.9604889578692468</v>
          </cell>
          <cell r="G150">
            <v>17.651509107525069</v>
          </cell>
          <cell r="H150">
            <v>18.804779469090921</v>
          </cell>
          <cell r="I150">
            <v>40.327742528861421</v>
          </cell>
          <cell r="J150">
            <v>42.937814482606406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696.84428324072303</v>
          </cell>
          <cell r="E151">
            <v>659.57888989984804</v>
          </cell>
          <cell r="F151">
            <v>657.33725117208303</v>
          </cell>
          <cell r="G151">
            <v>529.46975774415296</v>
          </cell>
          <cell r="H151">
            <v>427.39924934688497</v>
          </cell>
          <cell r="I151">
            <v>214.16070331970701</v>
          </cell>
          <cell r="J151">
            <v>6.1843559261606897E-3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9.2972343502235013</v>
          </cell>
          <cell r="E152">
            <v>8.800042791971638</v>
          </cell>
          <cell r="F152">
            <v>8.7710485782458143</v>
          </cell>
          <cell r="G152">
            <v>7.2996031348107948</v>
          </cell>
          <cell r="H152">
            <v>5.9378421040516258</v>
          </cell>
          <cell r="I152">
            <v>3.0927423014255768</v>
          </cell>
          <cell r="J152">
            <v>0.23557516834349768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9.455146312628532</v>
          </cell>
          <cell r="E153">
            <v>8.9495100393466611</v>
          </cell>
          <cell r="F153">
            <v>8.9190943171246015</v>
          </cell>
          <cell r="G153">
            <v>7.1841215433399217</v>
          </cell>
          <cell r="H153">
            <v>5.7991757034855516</v>
          </cell>
          <cell r="I153">
            <v>2.9058440070516554</v>
          </cell>
          <cell r="J153">
            <v>8.3912563448584657E-5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1.03544304550713E-3</v>
          </cell>
          <cell r="G154">
            <v>0.23949978993615362</v>
          </cell>
          <cell r="H154">
            <v>0.23952855198835835</v>
          </cell>
          <cell r="I154">
            <v>0.23954403498987087</v>
          </cell>
          <cell r="J154">
            <v>0.23961982334371595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0.20829118091584636</v>
          </cell>
          <cell r="G155">
            <v>0.76736049512897031</v>
          </cell>
          <cell r="H155">
            <v>0.70842340327593467</v>
          </cell>
          <cell r="I155">
            <v>1.0297567877171625</v>
          </cell>
          <cell r="J155">
            <v>0.90561156995463321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0.20808309781802856</v>
          </cell>
          <cell r="G156">
            <v>0.76659390122774174</v>
          </cell>
          <cell r="H156">
            <v>0.70771568758834635</v>
          </cell>
          <cell r="I156">
            <v>1.0287280596575046</v>
          </cell>
          <cell r="J156">
            <v>0.90470686309154214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0.20861929678932881</v>
          </cell>
          <cell r="G157">
            <v>0.76705590971704762</v>
          </cell>
          <cell r="H157">
            <v>0.70804174838615974</v>
          </cell>
          <cell r="I157">
            <v>1.0289691332582369</v>
          </cell>
          <cell r="J157">
            <v>0.90500314768830825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3.3219405827658702E-4</v>
          </cell>
          <cell r="E158">
            <v>2.4530956097597399E-4</v>
          </cell>
          <cell r="F158">
            <v>4.0700283057805202E-2</v>
          </cell>
          <cell r="G158">
            <v>7.5162930605727804E-2</v>
          </cell>
          <cell r="H158">
            <v>2.74265304934104E-2</v>
          </cell>
          <cell r="I158">
            <v>8.9021311626885605E-2</v>
          </cell>
          <cell r="J158">
            <v>7.8313268409876305E-2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3.3219405827658702E-4</v>
          </cell>
          <cell r="E159">
            <v>3.2850264951974923E-5</v>
          </cell>
          <cell r="F159">
            <v>4.0598274457489245E-2</v>
          </cell>
          <cell r="G159">
            <v>0.11551305057821826</v>
          </cell>
          <cell r="H159">
            <v>0.14203098614666823</v>
          </cell>
          <cell r="I159">
            <v>0.17340189418882476</v>
          </cell>
          <cell r="J159">
            <v>0.15352072250966572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2.8385584502829005E-3</v>
          </cell>
          <cell r="E160">
            <v>0.53889823920600244</v>
          </cell>
          <cell r="F160">
            <v>0.40131909985119912</v>
          </cell>
          <cell r="G160">
            <v>0.53466495940697245</v>
          </cell>
          <cell r="H160">
            <v>0.53493635842312259</v>
          </cell>
          <cell r="I160">
            <v>0.53559987585401103</v>
          </cell>
          <cell r="J160">
            <v>0.90757187853285048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2.8385584502829005E-3</v>
          </cell>
          <cell r="E161">
            <v>0.53889823920600244</v>
          </cell>
          <cell r="F161">
            <v>0.40131909985119912</v>
          </cell>
          <cell r="G161">
            <v>0.53466495940697245</v>
          </cell>
          <cell r="H161">
            <v>0.53493635842312259</v>
          </cell>
          <cell r="I161">
            <v>0.53559987585401103</v>
          </cell>
          <cell r="J161">
            <v>0.90757187853285048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1.9757985235467301E-4</v>
          </cell>
          <cell r="E162">
            <v>3.7827802242527797E-2</v>
          </cell>
          <cell r="F162">
            <v>2.0321588302506402E-6</v>
          </cell>
          <cell r="G162">
            <v>3.5176654578294301E-6</v>
          </cell>
          <cell r="H162">
            <v>4.0685434343628298E-6</v>
          </cell>
          <cell r="I162">
            <v>2.1448567054581601E-6</v>
          </cell>
          <cell r="J162">
            <v>4.2170965174810997E-2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1.9757985235467301E-4</v>
          </cell>
          <cell r="E163">
            <v>3.8025161334423685E-2</v>
          </cell>
          <cell r="F163">
            <v>3.8021327164572426E-2</v>
          </cell>
          <cell r="G163">
            <v>3.8026786028928242E-2</v>
          </cell>
          <cell r="H163">
            <v>3.8029760255248894E-2</v>
          </cell>
          <cell r="I163">
            <v>3.8032064050065907E-2</v>
          </cell>
          <cell r="J163">
            <v>6.4146837674510182E-2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2.3543076813399379E-2</v>
          </cell>
          <cell r="G164">
            <v>2.3607720378268787E-2</v>
          </cell>
          <cell r="H164">
            <v>2.6775095471073831E-2</v>
          </cell>
          <cell r="I164">
            <v>2.7574022251344678E-2</v>
          </cell>
          <cell r="J164">
            <v>2.6967833521528543E-2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2.3543076813399379E-2</v>
          </cell>
          <cell r="G165">
            <v>2.3607720378268787E-2</v>
          </cell>
          <cell r="H165">
            <v>2.6775095471073831E-2</v>
          </cell>
          <cell r="I165">
            <v>2.7574022251344678E-2</v>
          </cell>
          <cell r="J165">
            <v>2.6967833521528543E-2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1.05740499289857E-6</v>
          </cell>
          <cell r="F166">
            <v>1.8848163482599501E-3</v>
          </cell>
          <cell r="G166">
            <v>6.6041202107409E-6</v>
          </cell>
          <cell r="H166">
            <v>2.5518896649464099E-4</v>
          </cell>
          <cell r="I166">
            <v>2.4810529163158398E-5</v>
          </cell>
          <cell r="J166">
            <v>9.1562200853327201E-7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1.05740499289857E-6</v>
          </cell>
          <cell r="F167">
            <v>1.8853508468106392E-3</v>
          </cell>
          <cell r="G167">
            <v>1.8915012249283219E-3</v>
          </cell>
          <cell r="H167">
            <v>2.145812491335141E-3</v>
          </cell>
          <cell r="I167">
            <v>2.1706518833539317E-3</v>
          </cell>
          <cell r="J167">
            <v>2.1722823124242772E-3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2.5830093916652105E-3</v>
          </cell>
          <cell r="E168">
            <v>4.2386928099866515E-2</v>
          </cell>
          <cell r="F168">
            <v>2.3326891519045063E-2</v>
          </cell>
          <cell r="G168">
            <v>3.8635836942635289E-2</v>
          </cell>
          <cell r="H168">
            <v>3.888957453480154E-2</v>
          </cell>
          <cell r="I168">
            <v>3.9519737978140949E-2</v>
          </cell>
          <cell r="J168">
            <v>2.4212260999194476E-2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2.5830093916652105E-3</v>
          </cell>
          <cell r="E169">
            <v>4.2386928099866515E-2</v>
          </cell>
          <cell r="F169">
            <v>2.3326891519045063E-2</v>
          </cell>
          <cell r="G169">
            <v>3.8635836942635289E-2</v>
          </cell>
          <cell r="H169">
            <v>3.888957453480154E-2</v>
          </cell>
          <cell r="I169">
            <v>3.9519737978140949E-2</v>
          </cell>
          <cell r="J169">
            <v>2.4212260999194476E-2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1.56038675939833E-4</v>
          </cell>
          <cell r="E170">
            <v>2.8081098512049902E-3</v>
          </cell>
          <cell r="F170">
            <v>1.8605125680625501E-6</v>
          </cell>
          <cell r="G170">
            <v>3.0838040292635299E-6</v>
          </cell>
          <cell r="H170">
            <v>3.5379090466271898E-6</v>
          </cell>
          <cell r="I170">
            <v>2.0489591100540698E-6</v>
          </cell>
          <cell r="J170">
            <v>5.3004924823591199E-5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1.56038675939833E-4</v>
          </cell>
          <cell r="E171">
            <v>2.9639292006333369E-3</v>
          </cell>
          <cell r="F171">
            <v>2.9607966055596592E-3</v>
          </cell>
          <cell r="G171">
            <v>2.965239998108059E-3</v>
          </cell>
          <cell r="H171">
            <v>2.9676463957711719E-3</v>
          </cell>
          <cell r="I171">
            <v>2.9697853662478879E-3</v>
          </cell>
          <cell r="J171">
            <v>1.7620660557307723E-3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28.61986559200254</v>
          </cell>
          <cell r="E172">
            <v>25.727636490005015</v>
          </cell>
          <cell r="F172">
            <v>28.100348063994108</v>
          </cell>
          <cell r="G172">
            <v>18.537435265853812</v>
          </cell>
          <cell r="H172">
            <v>8.7360223331326825</v>
          </cell>
          <cell r="I172">
            <v>4.219226759023945</v>
          </cell>
          <cell r="J172">
            <v>0.90242787929252077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2005.1599254799301</v>
          </cell>
          <cell r="E173">
            <v>1800.94870508901</v>
          </cell>
          <cell r="F173">
            <v>1964.4628184943299</v>
          </cell>
          <cell r="G173">
            <v>1293.1071691124801</v>
          </cell>
          <cell r="H173">
            <v>608.06978973267599</v>
          </cell>
          <cell r="I173">
            <v>293.04170371340501</v>
          </cell>
          <cell r="J173">
            <v>62.406371793599199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35.55248094822565</v>
          </cell>
          <cell r="E174">
            <v>31.931714629237785</v>
          </cell>
          <cell r="F174">
            <v>34.830901037133394</v>
          </cell>
          <cell r="G174">
            <v>22.927432076462487</v>
          </cell>
          <cell r="H174">
            <v>10.78137925057937</v>
          </cell>
          <cell r="I174">
            <v>5.1957748885355519</v>
          </cell>
          <cell r="J174">
            <v>1.1064959537872199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3.9058649103080102E-3</v>
          </cell>
          <cell r="F175">
            <v>3.96512739436722E-3</v>
          </cell>
          <cell r="G175">
            <v>6.7825152563096198E-4</v>
          </cell>
          <cell r="H175">
            <v>0.17707586031448999</v>
          </cell>
          <cell r="I175">
            <v>0.11616993040065</v>
          </cell>
          <cell r="J175">
            <v>9.55094325061269E-4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1.5604062537101038</v>
          </cell>
          <cell r="F176">
            <v>1.5642058755060602</v>
          </cell>
          <cell r="G176">
            <v>1.4059536311602332</v>
          </cell>
          <cell r="H176">
            <v>0.54387398736021442</v>
          </cell>
          <cell r="I176">
            <v>0.27936084837777359</v>
          </cell>
          <cell r="J176">
            <v>7.9892069102764807E-2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2.164313236724601E-2</v>
          </cell>
          <cell r="F177">
            <v>1.9830112040056347E-4</v>
          </cell>
          <cell r="G177">
            <v>9.3582405652693822E-5</v>
          </cell>
          <cell r="H177">
            <v>6.6203363763912726E-5</v>
          </cell>
          <cell r="I177">
            <v>5.2199215285924531E-5</v>
          </cell>
          <cell r="J177">
            <v>1.4049379899633825E-4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2.164313236724601E-2</v>
          </cell>
          <cell r="F178">
            <v>1.9830112040056347E-4</v>
          </cell>
          <cell r="G178">
            <v>9.3582405652693822E-5</v>
          </cell>
          <cell r="H178">
            <v>6.6203363763912726E-5</v>
          </cell>
          <cell r="I178">
            <v>5.2199215285924531E-5</v>
          </cell>
          <cell r="J178">
            <v>1.4049379899633825E-4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4.1482871892149203E-3</v>
          </cell>
          <cell r="F179">
            <v>7.9724455897801298E-4</v>
          </cell>
          <cell r="G179">
            <v>2.1300623449086501E-3</v>
          </cell>
          <cell r="H179">
            <v>7.3023387261470798E-4</v>
          </cell>
          <cell r="I179">
            <v>1.1111544750509301E-3</v>
          </cell>
          <cell r="J179">
            <v>1.19650879970452E-3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4.1482871892149203E-3</v>
          </cell>
          <cell r="F180">
            <v>4.9366026277432497E-3</v>
          </cell>
          <cell r="G180">
            <v>7.044670117202877E-3</v>
          </cell>
          <cell r="H180">
            <v>5.7463255119061174E-3</v>
          </cell>
          <cell r="I180">
            <v>3.424338387066976E-3</v>
          </cell>
          <cell r="J180">
            <v>2.30459987339109E-3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1.4011965545764353</v>
          </cell>
          <cell r="E181">
            <v>1.6078399858069594</v>
          </cell>
          <cell r="F181">
            <v>0.2859725927725541</v>
          </cell>
          <cell r="G181">
            <v>0.3372555642955446</v>
          </cell>
          <cell r="H181">
            <v>0.34322816305006032</v>
          </cell>
          <cell r="I181">
            <v>0.36288145455203763</v>
          </cell>
          <cell r="J181">
            <v>0.28504290256680503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1.4011965545764353</v>
          </cell>
          <cell r="E182">
            <v>1.6078399858069594</v>
          </cell>
          <cell r="F182">
            <v>0.2859725927725541</v>
          </cell>
          <cell r="G182">
            <v>0.3372555642955446</v>
          </cell>
          <cell r="H182">
            <v>0.34322816305006032</v>
          </cell>
          <cell r="I182">
            <v>0.36288145455203763</v>
          </cell>
          <cell r="J182">
            <v>0.28504290256680503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1.5568850606404836</v>
          </cell>
          <cell r="E183">
            <v>1.786488873118844</v>
          </cell>
          <cell r="F183">
            <v>0.38937415154946409</v>
          </cell>
          <cell r="G183">
            <v>0.45919994615482812</v>
          </cell>
          <cell r="H183">
            <v>0.46733210857654139</v>
          </cell>
          <cell r="I183">
            <v>0.4914996690551548</v>
          </cell>
          <cell r="J183">
            <v>0.38110935858458078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5.1264948726625502E-5</v>
          </cell>
          <cell r="E184">
            <v>1.4844124731681899E-2</v>
          </cell>
          <cell r="F184">
            <v>2.4636206040989599E-6</v>
          </cell>
          <cell r="G184">
            <v>2.1571892593608601E-5</v>
          </cell>
          <cell r="H184">
            <v>1.0532252028714001E-2</v>
          </cell>
          <cell r="I184">
            <v>1.5843619138865801E-2</v>
          </cell>
          <cell r="J184">
            <v>4.4758977981801196E-3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9.975032106900722E-2</v>
          </cell>
          <cell r="E185">
            <v>0.11459307664197284</v>
          </cell>
          <cell r="F185">
            <v>4.1215864494280191E-2</v>
          </cell>
          <cell r="G185">
            <v>4.1223642354234799E-2</v>
          </cell>
          <cell r="H185">
            <v>2.4972347990531701E-2</v>
          </cell>
          <cell r="I185">
            <v>2.6383595146909574E-2</v>
          </cell>
          <cell r="J185">
            <v>2.0425286503379065E-2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1.0647763131570242E-2</v>
          </cell>
          <cell r="F186">
            <v>5.303698133591904E-3</v>
          </cell>
          <cell r="G186">
            <v>8.1489952890162649E-3</v>
          </cell>
          <cell r="H186">
            <v>8.3689083503210356E-3</v>
          </cell>
          <cell r="I186">
            <v>8.6340210605848362E-3</v>
          </cell>
          <cell r="J186">
            <v>5.7093358075479671E-3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1.0647763131570242E-2</v>
          </cell>
          <cell r="F187">
            <v>5.303698133591904E-3</v>
          </cell>
          <cell r="G187">
            <v>8.1489952890162649E-3</v>
          </cell>
          <cell r="H187">
            <v>8.3689083503210356E-3</v>
          </cell>
          <cell r="I187">
            <v>8.6340210605848362E-3</v>
          </cell>
          <cell r="J187">
            <v>5.7093358075479671E-3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7.1871209231234704E-4</v>
          </cell>
          <cell r="F188">
            <v>3.2909355438299398E-6</v>
          </cell>
          <cell r="G188">
            <v>2.8815419590893799E-6</v>
          </cell>
          <cell r="H188">
            <v>3.07190403667602E-6</v>
          </cell>
          <cell r="I188">
            <v>1.5275108699369001E-6</v>
          </cell>
          <cell r="J188">
            <v>1.7750128702165602E-5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7.1871209231234704E-4</v>
          </cell>
          <cell r="F189">
            <v>7.2070495938604312E-4</v>
          </cell>
          <cell r="G189">
            <v>7.2303858604051826E-4</v>
          </cell>
          <cell r="H189">
            <v>7.2513380117979036E-4</v>
          </cell>
          <cell r="I189">
            <v>7.262813844842893E-4</v>
          </cell>
          <cell r="J189">
            <v>4.4137383358943999E-4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5.2025610325042247E-3</v>
          </cell>
          <cell r="F190">
            <v>2.6318343497355344E-3</v>
          </cell>
          <cell r="G190">
            <v>3.4741393483202288E-3</v>
          </cell>
          <cell r="H190">
            <v>3.6742231845631468E-3</v>
          </cell>
          <cell r="I190">
            <v>3.7860996042413859E-3</v>
          </cell>
          <cell r="J190">
            <v>2.5479768920930687E-3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5.2025610325042247E-3</v>
          </cell>
          <cell r="F191">
            <v>2.6318343497355344E-3</v>
          </cell>
          <cell r="G191">
            <v>3.4741393483202288E-3</v>
          </cell>
          <cell r="H191">
            <v>3.6742231845631468E-3</v>
          </cell>
          <cell r="I191">
            <v>3.7860996042413859E-3</v>
          </cell>
          <cell r="J191">
            <v>2.5479768920930687E-3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3.3084795824900797E-4</v>
          </cell>
          <cell r="F192">
            <v>3.19398837175629E-6</v>
          </cell>
          <cell r="G192">
            <v>2.78033999786339E-6</v>
          </cell>
          <cell r="H192">
            <v>2.1855052199548899E-6</v>
          </cell>
          <cell r="I192">
            <v>1.0946400119398299E-6</v>
          </cell>
          <cell r="J192">
            <v>5.23192983595816E-6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3.3084795824900797E-4</v>
          </cell>
          <cell r="F193">
            <v>3.3323051180127975E-4</v>
          </cell>
          <cell r="G193">
            <v>3.3547986369330429E-4</v>
          </cell>
          <cell r="H193">
            <v>3.3692149139598056E-4</v>
          </cell>
          <cell r="I193">
            <v>3.3761514675055798E-4</v>
          </cell>
          <cell r="J193">
            <v>2.0345731034110363E-4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1.5612478774855389E-3</v>
          </cell>
          <cell r="F194">
            <v>9.4840919356470191E-4</v>
          </cell>
          <cell r="G194">
            <v>8.8536370786664465E-4</v>
          </cell>
          <cell r="H194">
            <v>1.0453501380749939E-3</v>
          </cell>
          <cell r="I194">
            <v>1.0328064873410528E-3</v>
          </cell>
          <cell r="J194">
            <v>7.2277550965156828E-4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1.5612478774855389E-3</v>
          </cell>
          <cell r="F195">
            <v>9.4840919356470191E-4</v>
          </cell>
          <cell r="G195">
            <v>8.8536370786664465E-4</v>
          </cell>
          <cell r="H195">
            <v>1.0453501380749939E-3</v>
          </cell>
          <cell r="I195">
            <v>1.0328064873410528E-3</v>
          </cell>
          <cell r="J195">
            <v>7.2277550965156828E-4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6.8019906016566798E-5</v>
          </cell>
          <cell r="F196">
            <v>6.1752648509837502E-6</v>
          </cell>
          <cell r="G196">
            <v>1.9315323466210199E-6</v>
          </cell>
          <cell r="H196">
            <v>8.6190741439186599E-7</v>
          </cell>
          <cell r="I196">
            <v>5.4514233990023099E-7</v>
          </cell>
          <cell r="J196">
            <v>9.0112525922404803E-7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6.8019906016566798E-5</v>
          </cell>
          <cell r="F197">
            <v>7.3818965577373107E-5</v>
          </cell>
          <cell r="G197">
            <v>7.5463693980783625E-5</v>
          </cell>
          <cell r="H197">
            <v>7.5915430126364668E-5</v>
          </cell>
          <cell r="I197">
            <v>7.6207978552581112E-5</v>
          </cell>
          <cell r="J197">
            <v>4.7507141087987326E-5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9.1581792635489645</v>
          </cell>
          <cell r="E198">
            <v>10.276110518746831</v>
          </cell>
          <cell r="F198">
            <v>19.821348099759835</v>
          </cell>
          <cell r="G198">
            <v>23.722558913336169</v>
          </cell>
          <cell r="H198">
            <v>25.449060924535043</v>
          </cell>
          <cell r="I198">
            <v>27.259975243649382</v>
          </cell>
          <cell r="J198">
            <v>26.206976244267043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2.8619310198590506</v>
          </cell>
          <cell r="E199">
            <v>3.158640528303331</v>
          </cell>
          <cell r="F199">
            <v>6.8749383983067274</v>
          </cell>
          <cell r="G199">
            <v>7.5787461641800995</v>
          </cell>
          <cell r="H199">
            <v>7.6592444639109196</v>
          </cell>
          <cell r="I199">
            <v>7.7342940210706645</v>
          </cell>
          <cell r="J199">
            <v>6.59404485005276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9.1581792635489645</v>
          </cell>
          <cell r="E200">
            <v>10.276110518746831</v>
          </cell>
          <cell r="F200">
            <v>19.821348099759835</v>
          </cell>
          <cell r="G200">
            <v>23.722558913336169</v>
          </cell>
          <cell r="H200">
            <v>25.449060924535043</v>
          </cell>
          <cell r="I200">
            <v>27.259975243649382</v>
          </cell>
          <cell r="J200">
            <v>26.206976244267043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9.4222437824138795E-7</v>
          </cell>
          <cell r="E201">
            <v>9.0332058155752695E-2</v>
          </cell>
          <cell r="F201">
            <v>0.77167381067447605</v>
          </cell>
          <cell r="G201">
            <v>0.31508780186831598</v>
          </cell>
          <cell r="H201">
            <v>0.73162376110568605</v>
          </cell>
          <cell r="I201">
            <v>1.1191763635951499</v>
          </cell>
          <cell r="J201">
            <v>0.99569879125690597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0.73983887014974314</v>
          </cell>
          <cell r="E202">
            <v>0.83016972472571915</v>
          </cell>
          <cell r="F202">
            <v>1.601834702661747</v>
          </cell>
          <cell r="G202">
            <v>1.9169209604221538</v>
          </cell>
          <cell r="H202">
            <v>2.0565150007917556</v>
          </cell>
          <cell r="I202">
            <v>2.2026754555705415</v>
          </cell>
          <cell r="J202">
            <v>2.1173930006038879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3.2403546952116806</v>
          </cell>
          <cell r="E203">
            <v>3.6355937942459446</v>
          </cell>
          <cell r="F203">
            <v>4.9088928545059645</v>
          </cell>
          <cell r="G203">
            <v>7.4597172251586263</v>
          </cell>
          <cell r="H203">
            <v>9.8117525062072843</v>
          </cell>
          <cell r="I203">
            <v>12.525450667779198</v>
          </cell>
          <cell r="J203">
            <v>15.268913787888508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1.1490619486566245</v>
          </cell>
          <cell r="E204">
            <v>1.2864804650551829</v>
          </cell>
          <cell r="F204">
            <v>2.611716605688466</v>
          </cell>
          <cell r="G204">
            <v>3.5610341070590952</v>
          </cell>
          <cell r="H204">
            <v>4.3317961887065204</v>
          </cell>
          <cell r="I204">
            <v>5.1765837976424027</v>
          </cell>
          <cell r="J204">
            <v>5.603828577390674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3.0310659094796301E-5</v>
          </cell>
          <cell r="E205">
            <v>3.3017868546791999E-2</v>
          </cell>
          <cell r="F205">
            <v>7.9375059513779003E-2</v>
          </cell>
          <cell r="G205">
            <v>0.17379910293193901</v>
          </cell>
          <cell r="H205">
            <v>0.34566981568782801</v>
          </cell>
          <cell r="I205">
            <v>0.37796855064254697</v>
          </cell>
          <cell r="J205">
            <v>0.62260634755676103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0.21338297307833579</v>
          </cell>
          <cell r="E206">
            <v>0.24639620315705729</v>
          </cell>
          <cell r="F206">
            <v>0.32576477538184495</v>
          </cell>
          <cell r="G206">
            <v>0.49955917690513002</v>
          </cell>
          <cell r="H206">
            <v>0.67107261941956309</v>
          </cell>
          <cell r="I206">
            <v>0.85639031596925552</v>
          </cell>
          <cell r="J206">
            <v>1.0431234765811639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5.6088509880527848</v>
          </cell>
          <cell r="E207">
            <v>6.0096829821632367</v>
          </cell>
          <cell r="F207">
            <v>6.3257294623133511</v>
          </cell>
          <cell r="G207">
            <v>6.8231644023985361</v>
          </cell>
          <cell r="H207">
            <v>8.6580517733357922</v>
          </cell>
          <cell r="I207">
            <v>8.5519598897579936</v>
          </cell>
          <cell r="J207">
            <v>9.9771256916320485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6.1511254032327073E-4</v>
          </cell>
          <cell r="F208">
            <v>1.9567870384876889E-3</v>
          </cell>
          <cell r="G208">
            <v>1.9908921101169548E-3</v>
          </cell>
          <cell r="H208">
            <v>1.0431848109020913E-2</v>
          </cell>
          <cell r="I208">
            <v>1.9958046393266596E-2</v>
          </cell>
          <cell r="J208">
            <v>3.1706917596514691E-3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5.6088509880527848</v>
          </cell>
          <cell r="E209">
            <v>6.0102980947035585</v>
          </cell>
          <cell r="F209">
            <v>6.3276862493518342</v>
          </cell>
          <cell r="G209">
            <v>6.8251552945086491</v>
          </cell>
          <cell r="H209">
            <v>8.668483621444814</v>
          </cell>
          <cell r="I209">
            <v>8.5719179361512623</v>
          </cell>
          <cell r="J209">
            <v>9.980296383391698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6.1305718856393689E-4</v>
          </cell>
          <cell r="F210">
            <v>5.0428126648462612E-4</v>
          </cell>
          <cell r="G210">
            <v>3.4091585925575754E-4</v>
          </cell>
          <cell r="H210">
            <v>4.7451116767847077E-4</v>
          </cell>
          <cell r="I210">
            <v>4.2357155859391811E-4</v>
          </cell>
          <cell r="J210">
            <v>3.0088070778870607E-4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6.1305718856393689E-4</v>
          </cell>
          <cell r="F211">
            <v>5.0428126648462612E-4</v>
          </cell>
          <cell r="G211">
            <v>3.4091585925575754E-4</v>
          </cell>
          <cell r="H211">
            <v>4.7451116767847077E-4</v>
          </cell>
          <cell r="I211">
            <v>4.2357155859391811E-4</v>
          </cell>
          <cell r="J211">
            <v>3.0088070778870607E-4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>
            <v>3.0530712870233E-7</v>
          </cell>
          <cell r="F212">
            <v>1.27864383280242E-6</v>
          </cell>
          <cell r="G212">
            <v>4.9552869065299004E-7</v>
          </cell>
          <cell r="H212">
            <v>2.7104883085760701E-7</v>
          </cell>
          <cell r="I212">
            <v>1.9460053273513699E-7</v>
          </cell>
          <cell r="J212">
            <v>2.4809056703004001E-7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>
            <v>3.0530712870233E-7</v>
          </cell>
          <cell r="F213">
            <v>1.365415282036947E-6</v>
          </cell>
          <cell r="G213">
            <v>1.7258281105164899E-6</v>
          </cell>
          <cell r="H213">
            <v>1.7404560190734991E-6</v>
          </cell>
          <cell r="I213">
            <v>1.8043204449850318E-6</v>
          </cell>
          <cell r="J213">
            <v>1.8193564940879399E-6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4.2617262197864543</v>
          </cell>
          <cell r="E214">
            <v>4.6178551473715137</v>
          </cell>
          <cell r="F214">
            <v>4.7411865930509869</v>
          </cell>
          <cell r="G214">
            <v>8.1724895490911926</v>
          </cell>
          <cell r="H214">
            <v>11.580974593806914</v>
          </cell>
          <cell r="I214">
            <v>15.847027969103261</v>
          </cell>
          <cell r="J214">
            <v>18.4892094809505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4.2617262197864543</v>
          </cell>
          <cell r="E215">
            <v>4.6178551473715137</v>
          </cell>
          <cell r="F215">
            <v>4.7411865930509869</v>
          </cell>
          <cell r="G215">
            <v>8.1724895490911926</v>
          </cell>
          <cell r="H215">
            <v>11.580974593806914</v>
          </cell>
          <cell r="I215">
            <v>15.847027969103261</v>
          </cell>
          <cell r="J215">
            <v>18.4892094809505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1.3317894436832673</v>
          </cell>
          <cell r="E216">
            <v>1.4252639343739246</v>
          </cell>
          <cell r="F216">
            <v>1.6815575406656758</v>
          </cell>
          <cell r="G216">
            <v>2.593608142969277</v>
          </cell>
          <cell r="H216">
            <v>3.4368066028351967</v>
          </cell>
          <cell r="I216">
            <v>4.4365094956719702</v>
          </cell>
          <cell r="J216">
            <v>4.797012383359947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6.6486584764040704E-6</v>
          </cell>
          <cell r="E217">
            <v>1.51399875747709E-5</v>
          </cell>
          <cell r="F217">
            <v>4.8005337205155101E-5</v>
          </cell>
          <cell r="G217">
            <v>0.20195300993288201</v>
          </cell>
          <cell r="H217">
            <v>0.58288150543255701</v>
          </cell>
          <cell r="I217">
            <v>0.50569610424995903</v>
          </cell>
          <cell r="J217">
            <v>0.82103120734597601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0.43062396211226439</v>
          </cell>
          <cell r="E218">
            <v>0.43062109165418205</v>
          </cell>
          <cell r="F218">
            <v>0.43065670907275672</v>
          </cell>
          <cell r="G218">
            <v>0.63261851548300374</v>
          </cell>
          <cell r="H218">
            <v>0.89653273656274612</v>
          </cell>
          <cell r="I218">
            <v>1.2265059934409552</v>
          </cell>
          <cell r="J218">
            <v>1.4345822786917395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4.8959306840296209E-2</v>
          </cell>
          <cell r="E219">
            <v>0.14059359000261218</v>
          </cell>
          <cell r="F219">
            <v>9.6975582639591135E-2</v>
          </cell>
          <cell r="G219">
            <v>0.1500514401400993</v>
          </cell>
          <cell r="H219">
            <v>0.10597655580676792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2.1594579518456905E-2</v>
          </cell>
          <cell r="E220">
            <v>2.5971872394766941E-2</v>
          </cell>
          <cell r="F220">
            <v>2.8768544440016051E-2</v>
          </cell>
          <cell r="G220">
            <v>1.1506042097067294E-2</v>
          </cell>
          <cell r="H220">
            <v>3.3214513323613026E-2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7.0553886358753079E-2</v>
          </cell>
          <cell r="E221">
            <v>0.16656546239737904</v>
          </cell>
          <cell r="F221">
            <v>0.12551260495420383</v>
          </cell>
          <cell r="G221">
            <v>0.16131818156861827</v>
          </cell>
          <cell r="H221">
            <v>0.13889698933842837</v>
          </cell>
          <cell r="I221"/>
          <cell r="J221"/>
        </row>
        <row r="222">
          <cell r="A222" t="str">
            <v>RHSA-WHCONBR1</v>
          </cell>
          <cell r="B222" t="str">
            <v>VAR_ncap</v>
          </cell>
          <cell r="C222" t="str">
            <v>-</v>
          </cell>
          <cell r="D222"/>
          <cell r="E222"/>
          <cell r="F222">
            <v>375</v>
          </cell>
          <cell r="G222">
            <v>4.73106761837278</v>
          </cell>
          <cell r="H222">
            <v>4.3003918622553901</v>
          </cell>
          <cell r="I222"/>
          <cell r="J222"/>
          <cell r="K222"/>
        </row>
        <row r="223">
          <cell r="A223" t="str">
            <v>RHSA-WHCONBR1</v>
          </cell>
          <cell r="B223" t="str">
            <v>VAR_cap</v>
          </cell>
          <cell r="C223" t="str">
            <v>-</v>
          </cell>
          <cell r="D223"/>
          <cell r="E223"/>
          <cell r="F223">
            <v>375</v>
          </cell>
          <cell r="G223">
            <v>11.848368678838028</v>
          </cell>
          <cell r="H223">
            <v>10.947118884980966</v>
          </cell>
          <cell r="I223">
            <v>6.3311927241839498</v>
          </cell>
          <cell r="J223">
            <v>2.8355470014540174</v>
          </cell>
          <cell r="K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D224"/>
          <cell r="E224">
            <v>6.9113187218625804E-2</v>
          </cell>
          <cell r="F224">
            <v>4.4314296878840724E-3</v>
          </cell>
          <cell r="G224">
            <v>1.0612758938215821E-2</v>
          </cell>
          <cell r="H224">
            <v>1.1020479708289427E-2</v>
          </cell>
          <cell r="I224">
            <v>1.1313978598475487E-2</v>
          </cell>
          <cell r="J224">
            <v>9.6021724634759026E-3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D225"/>
          <cell r="E225">
            <v>7.27507233880271E-2</v>
          </cell>
          <cell r="F225">
            <v>4.6646628293516576E-3</v>
          </cell>
          <cell r="G225">
            <v>1.1171325198121928E-2</v>
          </cell>
          <cell r="H225">
            <v>1.1600504956094142E-2</v>
          </cell>
          <cell r="I225">
            <v>1.1909451156289993E-2</v>
          </cell>
          <cell r="J225">
            <v>1.0107549961553587E-2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D226"/>
          <cell r="E226">
            <v>8.8505591998820198E-3</v>
          </cell>
          <cell r="F226"/>
          <cell r="G226"/>
          <cell r="H226">
            <v>8.6792111770925204E-3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D227"/>
          <cell r="E227">
            <v>8.8505591998820198E-3</v>
          </cell>
          <cell r="F227">
            <v>8.8391859498805833E-3</v>
          </cell>
          <cell r="G227">
            <v>8.8187263081048895E-3</v>
          </cell>
          <cell r="H227">
            <v>1.3151320561674102E-2</v>
          </cell>
          <cell r="I227">
            <v>8.6744628056238081E-3</v>
          </cell>
          <cell r="J227">
            <v>3.6629054485844688E-3</v>
          </cell>
          <cell r="K227"/>
        </row>
        <row r="228">
          <cell r="A228" t="str">
            <v>RHSA-WHCONBR2</v>
          </cell>
          <cell r="B228" t="str">
            <v>VAR_ncap</v>
          </cell>
          <cell r="C228" t="str">
            <v>-</v>
          </cell>
          <cell r="D228"/>
          <cell r="E228"/>
          <cell r="F228">
            <v>375</v>
          </cell>
          <cell r="G228">
            <v>4.7310676183725198</v>
          </cell>
          <cell r="H228">
            <v>4.3003918622550996</v>
          </cell>
          <cell r="I228"/>
          <cell r="J228"/>
          <cell r="K228"/>
        </row>
        <row r="229">
          <cell r="A229" t="str">
            <v>RHSA-WHCONBR2</v>
          </cell>
          <cell r="B229" t="str">
            <v>VAR_cap</v>
          </cell>
          <cell r="C229" t="str">
            <v>-</v>
          </cell>
          <cell r="D229"/>
          <cell r="E229"/>
          <cell r="F229">
            <v>375</v>
          </cell>
          <cell r="G229">
            <v>11.848368678838995</v>
          </cell>
          <cell r="H229">
            <v>10.947118884982956</v>
          </cell>
          <cell r="I229">
            <v>6.3311927241859962</v>
          </cell>
          <cell r="J229">
            <v>2.8355470014540174</v>
          </cell>
          <cell r="K229"/>
        </row>
        <row r="230">
          <cell r="A230" t="str">
            <v>ITOT-SWHSTG-SOL</v>
          </cell>
          <cell r="B230" t="str">
            <v>VAR_fout</v>
          </cell>
          <cell r="C230" t="str">
            <v>ITOT-SWHASOL</v>
          </cell>
          <cell r="D230">
            <v>1.85377881560165E-3</v>
          </cell>
          <cell r="E230">
            <v>1.9848204310787933E-3</v>
          </cell>
          <cell r="F230">
            <v>4.391579573518033E-3</v>
          </cell>
          <cell r="G230">
            <v>5.5723493923584477E-3</v>
          </cell>
          <cell r="H230">
            <v>8.0350857958086247E-3</v>
          </cell>
          <cell r="I230">
            <v>0.10918857674711055</v>
          </cell>
          <cell r="J230">
            <v>3.7325625615396645E-2</v>
          </cell>
        </row>
        <row r="231">
          <cell r="A231" t="str">
            <v>ITOT-SWHSTG-SOL</v>
          </cell>
          <cell r="B231" t="str">
            <v>VAR_fin</v>
          </cell>
          <cell r="C231" t="str">
            <v>ITOT-SWHASOL</v>
          </cell>
          <cell r="D231">
            <v>1.5068292140901518E-3</v>
          </cell>
          <cell r="E231">
            <v>1.8182264337344837E-3</v>
          </cell>
          <cell r="F231">
            <v>4.8464037033492755E-3</v>
          </cell>
          <cell r="G231">
            <v>6.3099543582036356E-3</v>
          </cell>
          <cell r="H231">
            <v>8.9186202077781926E-3</v>
          </cell>
          <cell r="I231">
            <v>0.12778520791844133</v>
          </cell>
          <cell r="J231">
            <v>4.0988527579840346E-2</v>
          </cell>
        </row>
        <row r="232">
          <cell r="A232" t="str">
            <v>ITOT-SWHSTG-SOL</v>
          </cell>
          <cell r="B232" t="str">
            <v>VAR_ncap</v>
          </cell>
          <cell r="C232" t="str">
            <v>-</v>
          </cell>
          <cell r="D232">
            <v>2.8614709799588099E-4</v>
          </cell>
          <cell r="E232">
            <v>4.2548390034515098E-7</v>
          </cell>
          <cell r="F232">
            <v>2.5005160557767199E-4</v>
          </cell>
          <cell r="G232">
            <v>3.9861057840108699E-4</v>
          </cell>
          <cell r="H232">
            <v>2.8774551753269699E-4</v>
          </cell>
          <cell r="I232">
            <v>8.0339650362907897E-2</v>
          </cell>
          <cell r="J232">
            <v>1.87248942358358E-6</v>
          </cell>
        </row>
        <row r="233">
          <cell r="A233" t="str">
            <v>ITOT-SWHSTG-SOL</v>
          </cell>
          <cell r="B233" t="str">
            <v>VAR_cap</v>
          </cell>
          <cell r="C233" t="str">
            <v>-</v>
          </cell>
          <cell r="D233">
            <v>2.8614709799588099E-4</v>
          </cell>
          <cell r="E233">
            <v>2.8657258189622599E-4</v>
          </cell>
          <cell r="F233">
            <v>5.3662418747389804E-4</v>
          </cell>
          <cell r="G233">
            <v>9.3523476587498502E-4</v>
          </cell>
          <cell r="H233">
            <v>1.01083351455918E-3</v>
          </cell>
          <cell r="I233">
            <v>8.0943931069666894E-2</v>
          </cell>
          <cell r="J233">
            <v>5.84287648691054E-2</v>
          </cell>
        </row>
        <row r="234">
          <cell r="A234" t="str">
            <v>RHES-SHLTHCHPNGA</v>
          </cell>
          <cell r="B234" t="str">
            <v>VAR_fout</v>
          </cell>
          <cell r="C234" t="str">
            <v>RHES-SHLTHC-NGA</v>
          </cell>
          <cell r="D234">
            <v>3.9928770963883045E-2</v>
          </cell>
          <cell r="E234">
            <v>2.0081631597735329E-2</v>
          </cell>
          <cell r="F234"/>
          <cell r="G234"/>
          <cell r="H234"/>
          <cell r="I234"/>
          <cell r="J234"/>
          <cell r="K234"/>
        </row>
        <row r="235">
          <cell r="A235" t="str">
            <v>RHES-SHLTHCHPNGA</v>
          </cell>
          <cell r="B235" t="str">
            <v>VAR_fin</v>
          </cell>
          <cell r="C235" t="str">
            <v>RHESLTHCHPC</v>
          </cell>
          <cell r="D235">
            <v>3.9928770963883045E-2</v>
          </cell>
          <cell r="E235">
            <v>2.0081631597735329E-2</v>
          </cell>
          <cell r="F235"/>
          <cell r="G235"/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RHES_LTH_CHPNGA_ON</v>
          </cell>
          <cell r="D236">
            <v>4.0332091882710149E-2</v>
          </cell>
          <cell r="E236">
            <v>2.0284476361348801E-2</v>
          </cell>
          <cell r="F236"/>
          <cell r="G236"/>
          <cell r="H236"/>
          <cell r="I236"/>
          <cell r="J236"/>
          <cell r="K236"/>
        </row>
        <row r="237">
          <cell r="A237" t="str">
            <v>RHES-SHLTHCHPNGA</v>
          </cell>
          <cell r="B237" t="str">
            <v>VAR_ncap</v>
          </cell>
          <cell r="C237" t="str">
            <v>-</v>
          </cell>
          <cell r="D237"/>
          <cell r="E237">
            <v>1.6935852571470301E-3</v>
          </cell>
          <cell r="F237">
            <v>1.40135780098112E-3</v>
          </cell>
          <cell r="G237">
            <v>9.3513592927187996E-4</v>
          </cell>
          <cell r="H237">
            <v>4.8862685188422704E-4</v>
          </cell>
          <cell r="I237">
            <v>1.5436296650026701E-4</v>
          </cell>
          <cell r="J237">
            <v>3.1865955080565103E-7</v>
          </cell>
          <cell r="K237"/>
        </row>
        <row r="238">
          <cell r="A238" t="str">
            <v>RHES-SHLTHCHPNGA</v>
          </cell>
          <cell r="B238" t="str">
            <v>VAR_cap</v>
          </cell>
          <cell r="C238" t="str">
            <v>-</v>
          </cell>
          <cell r="D238">
            <v>5.3757649990155603E-3</v>
          </cell>
          <cell r="E238">
            <v>2.7261342861108302E-3</v>
          </cell>
          <cell r="F238">
            <v>2.52363335304291E-3</v>
          </cell>
          <cell r="G238">
            <v>1.9609195185307906E-3</v>
          </cell>
          <cell r="H238">
            <v>1.0154165270780001E-3</v>
          </cell>
          <cell r="I238">
            <v>3.3435429436274016E-4</v>
          </cell>
          <cell r="J238"/>
          <cell r="K238"/>
        </row>
        <row r="239">
          <cell r="A239" t="str">
            <v>RHSA-WHSTG-ELC</v>
          </cell>
          <cell r="B239" t="str">
            <v>VAR_fout</v>
          </cell>
          <cell r="C239" t="str">
            <v>RHSA-WHAELCB</v>
          </cell>
          <cell r="D239">
            <v>1.0757778745708435</v>
          </cell>
          <cell r="E239">
            <v>1.2789441938586927</v>
          </cell>
          <cell r="F239">
            <v>0.83732512697493355</v>
          </cell>
          <cell r="G239">
            <v>0.63527302635627758</v>
          </cell>
          <cell r="H239">
            <v>0.30403285560987531</v>
          </cell>
          <cell r="I239">
            <v>0.27727928130943297</v>
          </cell>
          <cell r="J239">
            <v>0.26139965282084959</v>
          </cell>
          <cell r="K239"/>
        </row>
        <row r="240">
          <cell r="A240" t="str">
            <v>RHSA-WHSTG-ELC</v>
          </cell>
          <cell r="B240" t="str">
            <v>VAR_fout</v>
          </cell>
          <cell r="C240" t="str">
            <v>AUX_RHSA-WHSTG-ELC_OUT</v>
          </cell>
          <cell r="D240">
            <v>1.0768536524454142</v>
          </cell>
          <cell r="E240">
            <v>1.2802231380525515</v>
          </cell>
          <cell r="F240">
            <v>0.83816245210190787</v>
          </cell>
          <cell r="G240">
            <v>0.63590829938263382</v>
          </cell>
          <cell r="H240">
            <v>0.30433688846548507</v>
          </cell>
          <cell r="I240">
            <v>0.27755656059074252</v>
          </cell>
          <cell r="J240">
            <v>0.26166105247367022</v>
          </cell>
          <cell r="K240"/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>
            <v>1.0760554524358916</v>
          </cell>
          <cell r="E241">
            <v>1.2789388295957727</v>
          </cell>
          <cell r="F241">
            <v>0.83728344028727386</v>
          </cell>
          <cell r="G241">
            <v>0.63524385817749618</v>
          </cell>
          <cell r="H241">
            <v>0.30403005698608176</v>
          </cell>
          <cell r="I241">
            <v>0.27728452700203127</v>
          </cell>
          <cell r="J241">
            <v>0.26139696925420564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0.11738976400545301</v>
          </cell>
          <cell r="E242">
            <v>3.0304667462482899E-4</v>
          </cell>
          <cell r="F242">
            <v>3.0326524186028098E-4</v>
          </cell>
          <cell r="G242">
            <v>5.0669045352248298E-4</v>
          </cell>
          <cell r="H242">
            <v>1.6199673555334401E-2</v>
          </cell>
          <cell r="I242">
            <v>1.90021464522197E-2</v>
          </cell>
          <cell r="J242">
            <v>1.27177485593713E-2</v>
          </cell>
          <cell r="K242"/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0.11739067337434173</v>
          </cell>
          <cell r="E243">
            <v>0.11112207712770494</v>
          </cell>
          <cell r="F243">
            <v>8.193051732997482E-2</v>
          </cell>
          <cell r="G243">
            <v>6.0005404601844226E-2</v>
          </cell>
          <cell r="H243">
            <v>3.149475050321203E-2</v>
          </cell>
          <cell r="I243">
            <v>3.4887886983474017E-2</v>
          </cell>
          <cell r="J243">
            <v>3.2518097350266999E-2</v>
          </cell>
          <cell r="K243"/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6.91791002273958</v>
          </cell>
          <cell r="E244">
            <v>6.3246703469299703</v>
          </cell>
          <cell r="F244">
            <v>6.4457194252637864</v>
          </cell>
          <cell r="G244">
            <v>5.2391430723309336</v>
          </cell>
          <cell r="H244">
            <v>4.2507372275274404</v>
          </cell>
          <cell r="I244">
            <v>2.4433890957717601</v>
          </cell>
          <cell r="J244">
            <v>0.18759520473818372</v>
          </cell>
          <cell r="K244"/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655.78752653143204</v>
          </cell>
          <cell r="E245">
            <v>598.58263948154399</v>
          </cell>
          <cell r="F245">
            <v>608.56463794788601</v>
          </cell>
          <cell r="G245">
            <v>492.66271310107697</v>
          </cell>
          <cell r="H245">
            <v>398.12074175802599</v>
          </cell>
          <cell r="I245">
            <v>227.93510761506499</v>
          </cell>
          <cell r="J245">
            <v>17.361889906915799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8.8980668457453493</v>
          </cell>
          <cell r="E246">
            <v>8.1218811327210911</v>
          </cell>
          <cell r="F246">
            <v>8.257322088845136</v>
          </cell>
          <cell r="G246">
            <v>6.6847043840037541</v>
          </cell>
          <cell r="H246">
            <v>5.401909657503742</v>
          </cell>
          <cell r="I246">
            <v>3.0927423014255768</v>
          </cell>
          <cell r="J246">
            <v>0.23557516834349768</v>
          </cell>
          <cell r="K246"/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7.8921284084253508E-3</v>
          </cell>
          <cell r="F247">
            <v>9.1047211546281797E-3</v>
          </cell>
          <cell r="G247">
            <v>2.0393629661559199E-3</v>
          </cell>
          <cell r="H247">
            <v>0.163235851799127</v>
          </cell>
          <cell r="I247">
            <v>1.8585613628677899E-2</v>
          </cell>
          <cell r="J247">
            <v>1.2124535355030699E-3</v>
          </cell>
          <cell r="K247"/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0.38411922150184863</v>
          </cell>
          <cell r="F248">
            <v>0.3927695108812071</v>
          </cell>
          <cell r="G248">
            <v>0.38994178396841428</v>
          </cell>
          <cell r="H248">
            <v>0.27258679426036481</v>
          </cell>
          <cell r="I248">
            <v>0.18004565938802874</v>
          </cell>
          <cell r="J248">
            <v>1.6924111506060699E-2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7.4517210011869987E-5</v>
          </cell>
          <cell r="F249"/>
          <cell r="G249"/>
          <cell r="H249"/>
          <cell r="I249"/>
          <cell r="J249"/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0.69264836837935517</v>
          </cell>
          <cell r="E250">
            <v>0.75030097401736406</v>
          </cell>
          <cell r="F250"/>
          <cell r="G250"/>
          <cell r="H250"/>
          <cell r="I250"/>
          <cell r="J250"/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0.69264836837935517</v>
          </cell>
          <cell r="E251">
            <v>0.75037549122737524</v>
          </cell>
          <cell r="F251"/>
          <cell r="G251"/>
          <cell r="H251"/>
          <cell r="I251"/>
          <cell r="J251"/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4.73106761837278</v>
          </cell>
          <cell r="H252">
            <v>4.3003918622553901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11.848368678838028</v>
          </cell>
          <cell r="H253">
            <v>10.947118884980966</v>
          </cell>
          <cell r="I253">
            <v>6.3311927241839498</v>
          </cell>
          <cell r="J253">
            <v>2.8355470014540174</v>
          </cell>
          <cell r="K253"/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9.8748429320267928</v>
          </cell>
          <cell r="E254">
            <v>12.395647905897523</v>
          </cell>
          <cell r="F254">
            <v>14.827886847223827</v>
          </cell>
          <cell r="G254">
            <v>19.339376831810846</v>
          </cell>
          <cell r="H254">
            <v>22.121789163665717</v>
          </cell>
          <cell r="I254">
            <v>21.479451284661369</v>
          </cell>
          <cell r="J254">
            <v>24.63668722009108</v>
          </cell>
          <cell r="K254"/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9.8748429320267928</v>
          </cell>
          <cell r="E255">
            <v>12.395647905897523</v>
          </cell>
          <cell r="F255">
            <v>14.827886847223827</v>
          </cell>
          <cell r="G255">
            <v>19.339376831810846</v>
          </cell>
          <cell r="H255">
            <v>22.121789163665717</v>
          </cell>
          <cell r="I255">
            <v>21.479451284661369</v>
          </cell>
          <cell r="J255">
            <v>24.63668722009108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4.7310676183725198</v>
          </cell>
          <cell r="H256">
            <v>4.3003918622550996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11.848368678838995</v>
          </cell>
          <cell r="H257">
            <v>10.947118884982956</v>
          </cell>
          <cell r="I257">
            <v>6.3311927241859962</v>
          </cell>
          <cell r="J257">
            <v>2.8355470014540174</v>
          </cell>
          <cell r="K257"/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58.701922753786299</v>
          </cell>
          <cell r="F258">
            <v>45.095920320379449</v>
          </cell>
          <cell r="G258">
            <v>37.222773055465339</v>
          </cell>
          <cell r="H258">
            <v>34.440211385320268</v>
          </cell>
          <cell r="I258">
            <v>31.276685488162961</v>
          </cell>
          <cell r="J258">
            <v>25.370186740920264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58.701922753786299</v>
          </cell>
          <cell r="F259">
            <v>45.095920320379449</v>
          </cell>
          <cell r="G259">
            <v>37.222773055465339</v>
          </cell>
          <cell r="H259">
            <v>34.440211385320268</v>
          </cell>
          <cell r="I259">
            <v>31.276685488162961</v>
          </cell>
          <cell r="J259">
            <v>25.370186740920264</v>
          </cell>
          <cell r="K259"/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9.2493821887260005E-6</v>
          </cell>
          <cell r="E260">
            <v>6.0373229132833102E-5</v>
          </cell>
          <cell r="F260">
            <v>4.0414591506182301E-5</v>
          </cell>
          <cell r="G260">
            <v>3.2238227378480097E-5</v>
          </cell>
          <cell r="H260">
            <v>5.4288394043497497E-5</v>
          </cell>
          <cell r="I260">
            <v>4.5744366063432999E-5</v>
          </cell>
          <cell r="J260">
            <v>2.3879010754327399</v>
          </cell>
          <cell r="K260"/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6.6055405177360491</v>
          </cell>
          <cell r="E261">
            <v>6.2048518713301934</v>
          </cell>
          <cell r="F261">
            <v>4.7667325273495376</v>
          </cell>
          <cell r="G261">
            <v>3.9344762753585862</v>
          </cell>
          <cell r="H261">
            <v>3.6404332430512496</v>
          </cell>
          <cell r="I261">
            <v>3.3060505311732133</v>
          </cell>
          <cell r="J261">
            <v>2.6816254465295879</v>
          </cell>
          <cell r="K261"/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1.42855652761993E-2</v>
          </cell>
          <cell r="E262">
            <v>5.9725908689306087E-3</v>
          </cell>
          <cell r="F262">
            <v>4.8526862327608724E-3</v>
          </cell>
          <cell r="G262">
            <v>8.0296628153016421E-3</v>
          </cell>
          <cell r="H262">
            <v>1.2002156605108578E-2</v>
          </cell>
          <cell r="I262">
            <v>0.11824384749662097</v>
          </cell>
          <cell r="J262">
            <v>0.2756680420228938</v>
          </cell>
          <cell r="K262"/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0.21585912184730061</v>
          </cell>
          <cell r="E263">
            <v>0.23760991549475308</v>
          </cell>
          <cell r="F263">
            <v>8.0132532269757313E-3</v>
          </cell>
          <cell r="G263">
            <v>6.5758269800956243E-3</v>
          </cell>
          <cell r="H263">
            <v>9.5123528355772948E-3</v>
          </cell>
          <cell r="I263">
            <v>3.7195787743393889E-2</v>
          </cell>
          <cell r="J263">
            <v>4.6135885407942383E-2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0.23014468712349984</v>
          </cell>
          <cell r="E264">
            <v>0.24358250636368389</v>
          </cell>
          <cell r="F264">
            <v>1.2725045049717524E-2</v>
          </cell>
          <cell r="G264">
            <v>1.446874655622681E-2</v>
          </cell>
          <cell r="H264">
            <v>2.1246614524318998E-2</v>
          </cell>
          <cell r="I264">
            <v>0.15543963524001503</v>
          </cell>
          <cell r="J264">
            <v>0.32180392743083619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4.73106761837278</v>
          </cell>
          <cell r="H265">
            <v>4.3003918622553901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11.848368678838028</v>
          </cell>
          <cell r="H266">
            <v>10.947118884980966</v>
          </cell>
          <cell r="I266">
            <v>6.3311927241839498</v>
          </cell>
          <cell r="J266">
            <v>2.8355470014540174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4.9167194570802952E-4</v>
          </cell>
          <cell r="F267">
            <v>1.4821856051929346E-2</v>
          </cell>
          <cell r="G267">
            <v>9.4271947155576546E-3</v>
          </cell>
          <cell r="H267">
            <v>1.8452436080996018E-2</v>
          </cell>
          <cell r="I267">
            <v>6.2641686947849898E-2</v>
          </cell>
          <cell r="J267">
            <v>7.1816064962355278E-2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5.2275630555925409E-4</v>
          </cell>
          <cell r="F268">
            <v>1.3019438924460032</v>
          </cell>
          <cell r="G268">
            <v>1.4556211246953368</v>
          </cell>
          <cell r="H268">
            <v>1.5280216221091916</v>
          </cell>
          <cell r="I268">
            <v>5.0886884652633668</v>
          </cell>
          <cell r="J268">
            <v>5.5263993081160434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9.6002379843435418E-4</v>
          </cell>
          <cell r="F269">
            <v>1.3167657484979329</v>
          </cell>
          <cell r="G269">
            <v>1.4650483194108943</v>
          </cell>
          <cell r="H269">
            <v>1.5464740581901883</v>
          </cell>
          <cell r="I269">
            <v>5.1513301522112158</v>
          </cell>
          <cell r="J269">
            <v>5.5982153730783972</v>
          </cell>
        </row>
        <row r="270">
          <cell r="A270" t="str">
            <v>RHNM-SHSTG-ELCHP</v>
          </cell>
          <cell r="B270" t="str">
            <v>VAR_fout</v>
          </cell>
          <cell r="C270" t="str">
            <v>AUX_RHNM-SHSTG-ELCHP_OUT</v>
          </cell>
          <cell r="D270"/>
          <cell r="E270">
            <v>5.6646885553547069E-4</v>
          </cell>
          <cell r="F270">
            <v>9.8733141883989906E-2</v>
          </cell>
          <cell r="G270">
            <v>0.2020542696426138</v>
          </cell>
          <cell r="H270">
            <v>0.19166763025943204</v>
          </cell>
          <cell r="I270">
            <v>0.32155065132697314</v>
          </cell>
          <cell r="J270">
            <v>0.44163400009454096</v>
          </cell>
          <cell r="K270"/>
        </row>
        <row r="271">
          <cell r="A271" t="str">
            <v>RHNM-SHSTG-ELCHP</v>
          </cell>
          <cell r="B271" t="str">
            <v>VAR_fout</v>
          </cell>
          <cell r="C271" t="str">
            <v>RHNM-SHAELCH</v>
          </cell>
          <cell r="D271"/>
          <cell r="E271">
            <v>5.6590295258288764E-4</v>
          </cell>
          <cell r="F271">
            <v>9.8634507376613223E-2</v>
          </cell>
          <cell r="G271">
            <v>0.20185241722538846</v>
          </cell>
          <cell r="H271">
            <v>0.19147615410532665</v>
          </cell>
          <cell r="I271">
            <v>0.32122942190506826</v>
          </cell>
          <cell r="J271">
            <v>0.4411928072872538</v>
          </cell>
          <cell r="K271"/>
        </row>
        <row r="272">
          <cell r="A272" t="str">
            <v>RHNM-SHSTG-ELCHP</v>
          </cell>
          <cell r="B272" t="str">
            <v>VAR_fin</v>
          </cell>
          <cell r="C272" t="str">
            <v>RHNM-SHAELCH</v>
          </cell>
          <cell r="D272"/>
          <cell r="E272">
            <v>5.8699940335687562E-4</v>
          </cell>
          <cell r="F272">
            <v>9.8628301577940627E-2</v>
          </cell>
          <cell r="G272">
            <v>0.20190410006510764</v>
          </cell>
          <cell r="H272">
            <v>0.19155210951665333</v>
          </cell>
          <cell r="I272">
            <v>0.32135501995935334</v>
          </cell>
          <cell r="J272">
            <v>0.44129056324534793</v>
          </cell>
          <cell r="K272"/>
        </row>
        <row r="273">
          <cell r="A273" t="str">
            <v>RHNM-SHSTG-ELCHP</v>
          </cell>
          <cell r="B273" t="str">
            <v>VAR_ncap</v>
          </cell>
          <cell r="C273" t="str">
            <v>-</v>
          </cell>
          <cell r="D273">
            <v>5.0026376091130004E-4</v>
          </cell>
          <cell r="E273">
            <v>5.12639486724543E-4</v>
          </cell>
          <cell r="F273">
            <v>1.73285129315848E-2</v>
          </cell>
          <cell r="G273">
            <v>9.9423397680718402E-3</v>
          </cell>
          <cell r="H273">
            <v>1.0257511301131001E-2</v>
          </cell>
          <cell r="I273">
            <v>2.5695415751104799E-2</v>
          </cell>
          <cell r="J273">
            <v>3.3115034909369498E-2</v>
          </cell>
          <cell r="K273"/>
        </row>
        <row r="274">
          <cell r="A274" t="str">
            <v>RHNM-SHSTG-ELCHP</v>
          </cell>
          <cell r="B274" t="str">
            <v>VAR_cap</v>
          </cell>
          <cell r="C274" t="str">
            <v>-</v>
          </cell>
          <cell r="D274">
            <v>5.0026376091130004E-4</v>
          </cell>
          <cell r="E274">
            <v>6.5453787761354993E-4</v>
          </cell>
          <cell r="F274">
            <v>1.772065439351787E-2</v>
          </cell>
          <cell r="G274">
            <v>2.7286656708216801E-2</v>
          </cell>
          <cell r="H274">
            <v>3.6200381562062428E-2</v>
          </cell>
          <cell r="I274">
            <v>4.4177278307030547E-2</v>
          </cell>
          <cell r="J274">
            <v>5.5177903589134776E-2</v>
          </cell>
          <cell r="K274"/>
        </row>
        <row r="275">
          <cell r="A275" t="str">
            <v>D-SCOM_LTH</v>
          </cell>
          <cell r="B275" t="str">
            <v>VAR_fout</v>
          </cell>
          <cell r="C275" t="str">
            <v>SCOM_LTH_DH</v>
          </cell>
          <cell r="D275">
            <v>5.6100715303282938</v>
          </cell>
          <cell r="E275">
            <v>6.0767494295611515</v>
          </cell>
          <cell r="F275">
            <v>5.9482898181497221</v>
          </cell>
          <cell r="G275">
            <v>7.6471325057742057</v>
          </cell>
          <cell r="H275">
            <v>8.3305403502838278</v>
          </cell>
          <cell r="I275">
            <v>9.2533105005175731</v>
          </cell>
          <cell r="J275">
            <v>8.9440405195947381</v>
          </cell>
          <cell r="K275"/>
        </row>
        <row r="276">
          <cell r="A276" t="str">
            <v>D-SCOM_LTH</v>
          </cell>
          <cell r="B276" t="str">
            <v>VAR_fin</v>
          </cell>
          <cell r="C276" t="str">
            <v>LTH</v>
          </cell>
          <cell r="D276">
            <v>6.0988534961654368</v>
          </cell>
          <cell r="E276">
            <v>6.604454893473072</v>
          </cell>
          <cell r="F276">
            <v>6.4622922851122029</v>
          </cell>
          <cell r="G276">
            <v>8.3024822056838818</v>
          </cell>
          <cell r="H276">
            <v>9.0385249008194926</v>
          </cell>
          <cell r="I276">
            <v>10.033137343820743</v>
          </cell>
          <cell r="J276">
            <v>9.6851067143521306</v>
          </cell>
          <cell r="K276"/>
        </row>
        <row r="277">
          <cell r="A277" t="str">
            <v>D-SCOM_LTH</v>
          </cell>
          <cell r="B277" t="str">
            <v>VAR_ncap</v>
          </cell>
          <cell r="C277" t="str">
            <v>-</v>
          </cell>
          <cell r="D277">
            <v>0.84970301217908395</v>
          </cell>
          <cell r="E277">
            <v>2.4656683704450402E-6</v>
          </cell>
          <cell r="F277">
            <v>2.90973852282062E-6</v>
          </cell>
          <cell r="G277">
            <v>3.0216633111235002E-6</v>
          </cell>
          <cell r="H277">
            <v>6.4644833772158899E-6</v>
          </cell>
          <cell r="I277">
            <v>8.7275361588910693E-6</v>
          </cell>
          <cell r="J277">
            <v>4.4355477584625003E-6</v>
          </cell>
          <cell r="K277"/>
        </row>
        <row r="278">
          <cell r="A278" t="str">
            <v>D-SCOM_LTH</v>
          </cell>
          <cell r="B278" t="str">
            <v>VAR_cap</v>
          </cell>
          <cell r="C278" t="str">
            <v>-</v>
          </cell>
          <cell r="D278">
            <v>0.84970301217908395</v>
          </cell>
          <cell r="E278">
            <v>0.84970547784745498</v>
          </cell>
          <cell r="F278">
            <v>0.849708387585978</v>
          </cell>
          <cell r="G278">
            <v>0.84971140924928901</v>
          </cell>
          <cell r="H278">
            <v>0.84971787373266605</v>
          </cell>
          <cell r="I278">
            <v>0.84972660126882504</v>
          </cell>
          <cell r="J278">
            <v>0.84973103681658302</v>
          </cell>
        </row>
        <row r="279">
          <cell r="A279" t="str">
            <v>ITOT-SWHBIOBR</v>
          </cell>
          <cell r="B279" t="str">
            <v>VAR_fout</v>
          </cell>
          <cell r="C279" t="str">
            <v>ITOT-SWH</v>
          </cell>
          <cell r="D279">
            <v>0.31061522130000835</v>
          </cell>
          <cell r="E279">
            <v>0.39257019678593641</v>
          </cell>
          <cell r="F279">
            <v>1.1406488507800474</v>
          </cell>
          <cell r="G279">
            <v>2.2379419643213079</v>
          </cell>
          <cell r="H279">
            <v>2.7150135784782963</v>
          </cell>
          <cell r="I279">
            <v>2.7152008943965207</v>
          </cell>
          <cell r="J279">
            <v>3.0713499218904392</v>
          </cell>
          <cell r="K279"/>
        </row>
        <row r="280">
          <cell r="A280" t="str">
            <v>ITOT-SWHBIOBR</v>
          </cell>
          <cell r="B280" t="str">
            <v>VAR_fin</v>
          </cell>
          <cell r="C280" t="str">
            <v>IBIO</v>
          </cell>
          <cell r="D280">
            <v>0.43687091603376721</v>
          </cell>
          <cell r="E280">
            <v>0.55213811081003705</v>
          </cell>
          <cell r="F280">
            <v>1.6042881164276321</v>
          </cell>
          <cell r="G280">
            <v>3.1475976994673842</v>
          </cell>
          <cell r="H280">
            <v>3.8185844985630042</v>
          </cell>
          <cell r="I280">
            <v>3.818847952737721</v>
          </cell>
          <cell r="J280">
            <v>4.2657637804033888</v>
          </cell>
          <cell r="K280"/>
        </row>
        <row r="281">
          <cell r="A281" t="str">
            <v>ITOT-SWHBIOBR</v>
          </cell>
          <cell r="B281" t="str">
            <v>VAR_ncap</v>
          </cell>
          <cell r="C281" t="str">
            <v>-</v>
          </cell>
          <cell r="D281"/>
          <cell r="E281">
            <v>1.6098035857658E-2</v>
          </cell>
          <cell r="F281">
            <v>7.1009789241017807E-2</v>
          </cell>
          <cell r="G281">
            <v>3.3983535961932702E-2</v>
          </cell>
          <cell r="H281">
            <v>5.1380359023425699E-2</v>
          </cell>
          <cell r="I281">
            <v>0.130421423029177</v>
          </cell>
          <cell r="J281">
            <v>0.104955121594748</v>
          </cell>
        </row>
        <row r="282">
          <cell r="A282" t="str">
            <v>ITOT-SWHBIOBR</v>
          </cell>
          <cell r="B282" t="str">
            <v>VAR_cap</v>
          </cell>
          <cell r="C282" t="str">
            <v>-</v>
          </cell>
          <cell r="D282">
            <v>1.7013611085743299E-2</v>
          </cell>
          <cell r="E282">
            <v>3.3023683413623328E-2</v>
          </cell>
          <cell r="F282">
            <v>0.10378587035716326</v>
          </cell>
          <cell r="G282">
            <v>0.13750134252111448</v>
          </cell>
          <cell r="H282">
            <v>0.1672733120733072</v>
          </cell>
          <cell r="I282">
            <v>0.20371676834368141</v>
          </cell>
          <cell r="J282">
            <v>0.21917142598048475</v>
          </cell>
          <cell r="K282"/>
        </row>
        <row r="283">
          <cell r="A283" t="str">
            <v>RHNS-SHPLTBR</v>
          </cell>
          <cell r="B283" t="str">
            <v>VAR_fout</v>
          </cell>
          <cell r="C283" t="str">
            <v>RHNS-SHPLT</v>
          </cell>
          <cell r="D283"/>
          <cell r="E283"/>
          <cell r="F283">
            <v>8.1627240057534193E-4</v>
          </cell>
          <cell r="G283">
            <v>6.3220562980970361E-3</v>
          </cell>
          <cell r="H283">
            <v>6.7552893445275951E-3</v>
          </cell>
          <cell r="I283">
            <v>7.2629180594172048E-3</v>
          </cell>
          <cell r="J283">
            <v>1.0358231053382757E-2</v>
          </cell>
          <cell r="K283"/>
        </row>
        <row r="284">
          <cell r="A284" t="str">
            <v>RHNS-SHPLTBR</v>
          </cell>
          <cell r="B284" t="str">
            <v>VAR_fin</v>
          </cell>
          <cell r="C284" t="str">
            <v>RPLT</v>
          </cell>
          <cell r="D284"/>
          <cell r="E284"/>
          <cell r="F284">
            <v>1.098314827641675E-3</v>
          </cell>
          <cell r="G284">
            <v>8.2863611847680749E-3</v>
          </cell>
          <cell r="H284">
            <v>8.8400882658759457E-3</v>
          </cell>
          <cell r="I284">
            <v>9.4761490453772988E-3</v>
          </cell>
          <cell r="J284">
            <v>1.3397270445875888E-2</v>
          </cell>
          <cell r="K284"/>
        </row>
        <row r="285">
          <cell r="A285" t="str">
            <v>RHNS-SHPLTBR</v>
          </cell>
          <cell r="B285" t="str">
            <v>VAR_ncap</v>
          </cell>
          <cell r="C285" t="str">
            <v>-</v>
          </cell>
          <cell r="D285"/>
          <cell r="E285">
            <v>3.7288681887828399E-6</v>
          </cell>
          <cell r="F285">
            <v>9.3222412422330596E-4</v>
          </cell>
          <cell r="G285">
            <v>7.9091501808749797E-4</v>
          </cell>
          <cell r="H285">
            <v>3.49122771010274E-5</v>
          </cell>
          <cell r="I285">
            <v>2.9447035939222E-4</v>
          </cell>
          <cell r="J285">
            <v>8.2057284841902198E-4</v>
          </cell>
          <cell r="K285"/>
        </row>
        <row r="286">
          <cell r="A286" t="str">
            <v>RHNS-SHPLTBR</v>
          </cell>
          <cell r="B286" t="str">
            <v>VAR_cap</v>
          </cell>
          <cell r="C286" t="str">
            <v>-</v>
          </cell>
          <cell r="D286"/>
          <cell r="E286">
            <v>3.7288681887828399E-6</v>
          </cell>
          <cell r="F286">
            <v>9.3359453382834193E-4</v>
          </cell>
          <cell r="G286">
            <v>1.7186624128792479E-3</v>
          </cell>
          <cell r="H286">
            <v>1.7454751588396513E-3</v>
          </cell>
          <cell r="I286">
            <v>1.0251491880977238E-3</v>
          </cell>
          <cell r="J286">
            <v>1.0461395472329269E-3</v>
          </cell>
        </row>
        <row r="287">
          <cell r="A287" t="str">
            <v>SCOM-SHLTHCHPNGA</v>
          </cell>
          <cell r="B287" t="str">
            <v>VAR_fout</v>
          </cell>
          <cell r="C287" t="str">
            <v>SCOM-SHLTHC-NGA</v>
          </cell>
          <cell r="D287">
            <v>0.68572188469556261</v>
          </cell>
          <cell r="E287">
            <v>0.74279796427719036</v>
          </cell>
          <cell r="F287"/>
          <cell r="G287"/>
          <cell r="H287"/>
          <cell r="I287"/>
          <cell r="J287"/>
          <cell r="K287"/>
        </row>
        <row r="288">
          <cell r="A288" t="str">
            <v>SCOM-SHLTHCHPNGA</v>
          </cell>
          <cell r="B288" t="str">
            <v>VAR_fin</v>
          </cell>
          <cell r="C288" t="str">
            <v>SCOMLTHCHPC</v>
          </cell>
          <cell r="D288">
            <v>0.68572188469556261</v>
          </cell>
          <cell r="E288">
            <v>0.74279796427719036</v>
          </cell>
          <cell r="F288"/>
          <cell r="G288"/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SCOM_LTH_CHPNGA_ON</v>
          </cell>
          <cell r="D289">
            <v>0.69264836837935517</v>
          </cell>
          <cell r="E289">
            <v>0.75030097401736406</v>
          </cell>
          <cell r="F289"/>
          <cell r="G289"/>
          <cell r="H289"/>
          <cell r="I289"/>
          <cell r="J289"/>
          <cell r="K289"/>
        </row>
        <row r="290">
          <cell r="A290" t="str">
            <v>SCOM-SHLTHCHPNGA</v>
          </cell>
          <cell r="B290" t="str">
            <v>VAR_ncap</v>
          </cell>
          <cell r="C290" t="str">
            <v>-</v>
          </cell>
          <cell r="D290">
            <v>1.2702321524874301E-6</v>
          </cell>
          <cell r="E290">
            <v>4.3276698905717698E-2</v>
          </cell>
          <cell r="F290">
            <v>2.63943160085599E-2</v>
          </cell>
          <cell r="G290">
            <v>2.5432427326418099E-3</v>
          </cell>
          <cell r="H290">
            <v>3.9955027645004497E-3</v>
          </cell>
          <cell r="I290">
            <v>2.1349746475030299E-3</v>
          </cell>
          <cell r="J290">
            <v>4.8604091244397403E-6</v>
          </cell>
          <cell r="K290"/>
        </row>
        <row r="291">
          <cell r="A291" t="str">
            <v>SCOM-SHLTHCHPNGA</v>
          </cell>
          <cell r="B291" t="str">
            <v>VAR_cap</v>
          </cell>
          <cell r="C291" t="str">
            <v>-</v>
          </cell>
          <cell r="D291">
            <v>7.5970539190679393E-2</v>
          </cell>
          <cell r="E291">
            <v>5.7614229916979405E-2</v>
          </cell>
          <cell r="F291">
            <v>3.7497385145030995E-2</v>
          </cell>
          <cell r="G291">
            <v>5.2091264451548103E-3</v>
          </cell>
          <cell r="H291">
            <v>5.9639764625146058E-3</v>
          </cell>
          <cell r="I291">
            <v>3.2521442504904099E-3</v>
          </cell>
          <cell r="J291">
            <v>3.6375272613499432E-6</v>
          </cell>
          <cell r="K291"/>
        </row>
        <row r="292">
          <cell r="A292" t="str">
            <v>ITOT-PROCESSCO2</v>
          </cell>
          <cell r="B292" t="str">
            <v>VAR_fout</v>
          </cell>
          <cell r="C292" t="str">
            <v>CO2</v>
          </cell>
          <cell r="D292">
            <v>2089.34680048464</v>
          </cell>
          <cell r="E292">
            <v>2111.0131698740802</v>
          </cell>
          <cell r="F292">
            <v>2102.26947106126</v>
          </cell>
          <cell r="G292">
            <v>2093.6594329631698</v>
          </cell>
          <cell r="H292">
            <v>2085.5443580044098</v>
          </cell>
          <cell r="I292">
            <v>2077.5818055649602</v>
          </cell>
          <cell r="J292">
            <v>2063.7661117810098</v>
          </cell>
          <cell r="K292"/>
        </row>
        <row r="293">
          <cell r="A293" t="str">
            <v>ITOT-PROCESSCO2</v>
          </cell>
          <cell r="B293" t="str">
            <v>VAR_fout</v>
          </cell>
          <cell r="C293" t="str">
            <v>CO2P</v>
          </cell>
          <cell r="D293">
            <v>2089.34680048464</v>
          </cell>
          <cell r="E293">
            <v>2111.0131698740802</v>
          </cell>
          <cell r="F293">
            <v>2102.26947106126</v>
          </cell>
          <cell r="G293">
            <v>2093.6594329631707</v>
          </cell>
          <cell r="H293">
            <v>2085.5443580044066</v>
          </cell>
          <cell r="I293">
            <v>2077.5818055649643</v>
          </cell>
          <cell r="J293">
            <v>2063.7661117810148</v>
          </cell>
          <cell r="K293"/>
        </row>
        <row r="294">
          <cell r="A294" t="str">
            <v>RHNM-SHWODBR</v>
          </cell>
          <cell r="B294" t="str">
            <v>VAR_fout</v>
          </cell>
          <cell r="C294" t="str">
            <v>RHNM-SHWOD</v>
          </cell>
          <cell r="D294"/>
          <cell r="E294">
            <v>8.1188320236315017E-2</v>
          </cell>
          <cell r="F294">
            <v>5.3666897917739709E-2</v>
          </cell>
          <cell r="G294">
            <v>8.5742789420056767E-2</v>
          </cell>
          <cell r="H294">
            <v>9.063004598594529E-2</v>
          </cell>
          <cell r="I294">
            <v>9.541054907304887E-2</v>
          </cell>
          <cell r="J294">
            <v>8.4745618360357169E-2</v>
          </cell>
          <cell r="K294"/>
        </row>
        <row r="295">
          <cell r="A295" t="str">
            <v>RHNM-SHWODBR</v>
          </cell>
          <cell r="B295" t="str">
            <v>VAR_fin</v>
          </cell>
          <cell r="C295" t="str">
            <v>RHNMWODBRC</v>
          </cell>
          <cell r="D295"/>
          <cell r="E295">
            <v>8.1188320236315017E-2</v>
          </cell>
          <cell r="F295">
            <v>5.3666897917739709E-2</v>
          </cell>
          <cell r="G295">
            <v>8.5742789420056767E-2</v>
          </cell>
          <cell r="H295">
            <v>9.063004598594529E-2</v>
          </cell>
          <cell r="I295">
            <v>9.541054907304887E-2</v>
          </cell>
          <cell r="J295">
            <v>8.4745618360357169E-2</v>
          </cell>
          <cell r="K295"/>
        </row>
        <row r="296">
          <cell r="A296" t="str">
            <v>RHNM-SHWODBR</v>
          </cell>
          <cell r="B296" t="str">
            <v>VAR_fin</v>
          </cell>
          <cell r="C296" t="str">
            <v>RWOD</v>
          </cell>
          <cell r="D296"/>
          <cell r="E296">
            <v>0.11276155588377094</v>
          </cell>
          <cell r="F296">
            <v>7.2410404321898048E-2</v>
          </cell>
          <cell r="G296">
            <v>0.11440846234583238</v>
          </cell>
          <cell r="H296">
            <v>0.12057227153404185</v>
          </cell>
          <cell r="I296">
            <v>0.12626544215890856</v>
          </cell>
          <cell r="J296">
            <v>0.11215157105015783</v>
          </cell>
          <cell r="K296"/>
        </row>
        <row r="297">
          <cell r="A297" t="str">
            <v>RHNM-SHWODBR</v>
          </cell>
          <cell r="B297" t="str">
            <v>VAR_ncap</v>
          </cell>
          <cell r="C297" t="str">
            <v>-</v>
          </cell>
          <cell r="D297"/>
          <cell r="E297">
            <v>7.3557983568274003E-3</v>
          </cell>
          <cell r="F297">
            <v>8.9611257851874399E-4</v>
          </cell>
          <cell r="G297"/>
          <cell r="H297">
            <v>1.64759588453556E-2</v>
          </cell>
          <cell r="I297"/>
          <cell r="J297"/>
          <cell r="K297"/>
        </row>
        <row r="298">
          <cell r="A298" t="str">
            <v>RHNM-SHWODBR</v>
          </cell>
          <cell r="B298" t="str">
            <v>VAR_cap</v>
          </cell>
          <cell r="C298" t="str">
            <v>-</v>
          </cell>
          <cell r="D298"/>
          <cell r="E298">
            <v>7.3557983568274003E-3</v>
          </cell>
          <cell r="F298">
            <v>8.2455694569129202E-3</v>
          </cell>
          <cell r="G298">
            <v>8.2387297061267007E-3</v>
          </cell>
          <cell r="H298">
            <v>2.0929191379198953E-2</v>
          </cell>
          <cell r="I298">
            <v>1.6598977772025097E-2</v>
          </cell>
          <cell r="J298">
            <v>6.967399530219286E-3</v>
          </cell>
          <cell r="K298"/>
        </row>
        <row r="299">
          <cell r="A299" t="str">
            <v>RHNS-SHDEM</v>
          </cell>
          <cell r="B299" t="str">
            <v>VAR_fout</v>
          </cell>
          <cell r="C299" t="str">
            <v>RHNS-SHD</v>
          </cell>
          <cell r="D299"/>
          <cell r="E299">
            <v>0.40468474157116097</v>
          </cell>
          <cell r="F299">
            <v>1.3774834661508395</v>
          </cell>
          <cell r="G299">
            <v>2.6284899959265395</v>
          </cell>
          <cell r="H299">
            <v>3.3756392547901024</v>
          </cell>
          <cell r="I299">
            <v>3.979952757698809</v>
          </cell>
          <cell r="J299">
            <v>4.7581342917708733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RHNS-SHLTHC-WOD</v>
          </cell>
          <cell r="D300"/>
          <cell r="E300">
            <v>4.5987436438437113E-4</v>
          </cell>
          <cell r="F300">
            <v>6.6199902876881061E-4</v>
          </cell>
          <cell r="G300">
            <v>8.3959070590166186E-5</v>
          </cell>
          <cell r="H300">
            <v>4.7622857368628265E-4</v>
          </cell>
          <cell r="I300">
            <v>6.1543771883148417E-4</v>
          </cell>
          <cell r="J300">
            <v>8.5074082536925786E-4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RHNS-SHLFO</v>
          </cell>
          <cell r="D301"/>
          <cell r="E301">
            <v>3.0704762018409046E-3</v>
          </cell>
          <cell r="F301">
            <v>1.9276121669889162E-2</v>
          </cell>
          <cell r="G301">
            <v>4.8696130567477423E-2</v>
          </cell>
          <cell r="H301">
            <v>4.8373552361740679E-2</v>
          </cell>
          <cell r="I301">
            <v>4.2836969246603941E-2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RHNS-SHNGAH</v>
          </cell>
          <cell r="D302"/>
          <cell r="E302">
            <v>4.7419725962890094E-4</v>
          </cell>
          <cell r="F302">
            <v>0.18246246301041652</v>
          </cell>
          <cell r="G302">
            <v>0.53402187774964671</v>
          </cell>
          <cell r="H302">
            <v>0.75862502595783388</v>
          </cell>
          <cell r="I302">
            <v>0.94182262355696555</v>
          </cell>
          <cell r="J302">
            <v>1.1572217899860251</v>
          </cell>
          <cell r="K302"/>
        </row>
        <row r="303">
          <cell r="A303" t="str">
            <v>RHNS-SHDEM</v>
          </cell>
          <cell r="B303" t="str">
            <v>VAR_fin</v>
          </cell>
          <cell r="C303" t="str">
            <v>RHNS-SHCON</v>
          </cell>
          <cell r="D303"/>
          <cell r="E303"/>
          <cell r="F303">
            <v>2.1804404966817584E-2</v>
          </cell>
          <cell r="G303">
            <v>2.1784211677031373E-2</v>
          </cell>
          <cell r="H303">
            <v>2.4626714860505806E-2</v>
          </cell>
          <cell r="I303">
            <v>2.656002919064674E-2</v>
          </cell>
          <cell r="J303">
            <v>2.6309800984479926E-2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RHNS-SHWOD</v>
          </cell>
          <cell r="D304"/>
          <cell r="E304">
            <v>2.5553559698656345E-2</v>
          </cell>
          <cell r="F304">
            <v>2.0984444579926015E-2</v>
          </cell>
          <cell r="G304">
            <v>7.4976132146115343E-2</v>
          </cell>
          <cell r="H304">
            <v>7.6246421892393668E-2</v>
          </cell>
          <cell r="I304">
            <v>7.8659813778144377E-2</v>
          </cell>
          <cell r="J304">
            <v>8.0361107763795847E-2</v>
          </cell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RHNS-SHNST</v>
          </cell>
          <cell r="D305"/>
          <cell r="E305">
            <v>4.9457274944198079E-4</v>
          </cell>
          <cell r="F305">
            <v>1.0173696245329635E-3</v>
          </cell>
          <cell r="G305">
            <v>1.5453981697529356E-3</v>
          </cell>
          <cell r="H305">
            <v>2.4340847170159982E-3</v>
          </cell>
          <cell r="I305">
            <v>2.4042426501150222E-3</v>
          </cell>
          <cell r="J305">
            <v>2.1176046375600823E-3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RHNS-SHPLT</v>
          </cell>
          <cell r="D306"/>
          <cell r="E306">
            <v>4.0169462571567596E-4</v>
          </cell>
          <cell r="F306">
            <v>3.9743011822011218E-3</v>
          </cell>
          <cell r="G306">
            <v>8.4005866511821532E-3</v>
          </cell>
          <cell r="H306">
            <v>9.1186910108346179E-3</v>
          </cell>
          <cell r="I306">
            <v>9.8582868041284487E-3</v>
          </cell>
          <cell r="J306">
            <v>1.2301543839307965E-2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RHNS-SHLTHD</v>
          </cell>
          <cell r="D307"/>
          <cell r="E307">
            <v>5.1516679602852028E-2</v>
          </cell>
          <cell r="F307">
            <v>4.7037563208302633E-3</v>
          </cell>
          <cell r="G307">
            <v>0.14545058692932811</v>
          </cell>
          <cell r="H307">
            <v>0.15512397764866717</v>
          </cell>
          <cell r="I307">
            <v>0.16682467124395597</v>
          </cell>
          <cell r="J307">
            <v>0.19420478583873976</v>
          </cell>
        </row>
        <row r="308">
          <cell r="A308" t="str">
            <v>RHNS-SHDEM</v>
          </cell>
          <cell r="B308" t="str">
            <v>VAR_fin</v>
          </cell>
          <cell r="C308" t="str">
            <v>RHNS-SHELCB</v>
          </cell>
          <cell r="D308"/>
          <cell r="E308">
            <v>6.6305704002775245E-2</v>
          </cell>
          <cell r="F308">
            <v>5.6695716405342871E-3</v>
          </cell>
          <cell r="G308">
            <v>1.1615335191462999E-2</v>
          </cell>
          <cell r="H308">
            <v>1.2093785327012753E-2</v>
          </cell>
          <cell r="I308">
            <v>1.2532006420509535E-2</v>
          </cell>
          <cell r="J308">
            <v>1.1247564429527011E-2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RHNS-SHELCH</v>
          </cell>
          <cell r="D309"/>
          <cell r="E309">
            <v>0.1435781323222898</v>
          </cell>
          <cell r="F309">
            <v>1.0784130432088146</v>
          </cell>
          <cell r="G309">
            <v>1.6945548550660672</v>
          </cell>
          <cell r="H309">
            <v>2.202070544171518</v>
          </cell>
          <cell r="I309">
            <v>2.6163378538178659</v>
          </cell>
          <cell r="J309">
            <v>3.2358307462176445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RHNS-SHSOL</v>
          </cell>
          <cell r="D310"/>
          <cell r="E310">
            <v>1.3354794027029602E-2</v>
          </cell>
          <cell r="F310">
            <v>3.8370898897346559E-3</v>
          </cell>
          <cell r="G310">
            <v>4.7340632088681608E-3</v>
          </cell>
          <cell r="H310">
            <v>5.2576990554866867E-3</v>
          </cell>
          <cell r="I310">
            <v>5.1156746076609456E-3</v>
          </cell>
          <cell r="J310">
            <v>4.85213542718864E-3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RHNS-SHLTHC-NGA</v>
          </cell>
          <cell r="D311"/>
          <cell r="E311">
            <v>3.1485710960436359E-3</v>
          </cell>
          <cell r="F311">
            <v>7.6774646785329954E-4</v>
          </cell>
          <cell r="G311">
            <v>1.2922357397789029E-3</v>
          </cell>
          <cell r="H311">
            <v>3.5808318307754334E-4</v>
          </cell>
          <cell r="I311">
            <v>1.6671245264001457E-4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RHNS-SHNGA</v>
          </cell>
          <cell r="D312"/>
          <cell r="E312">
            <v>9.8807312941432829E-2</v>
          </cell>
          <cell r="F312">
            <v>3.8255198166547884E-2</v>
          </cell>
          <cell r="G312">
            <v>8.5219300285433841E-2</v>
          </cell>
          <cell r="H312">
            <v>8.4794599467669207E-2</v>
          </cell>
          <cell r="I312">
            <v>7.9291593719307954E-2</v>
          </cell>
          <cell r="J312">
            <v>3.5346653209351965E-2</v>
          </cell>
        </row>
        <row r="313">
          <cell r="A313" t="str">
            <v>RES-ELCSPEC</v>
          </cell>
          <cell r="B313" t="str">
            <v>VAR_fout</v>
          </cell>
          <cell r="C313" t="str">
            <v>RHSA-ELS</v>
          </cell>
          <cell r="D313">
            <v>44.576954446539794</v>
          </cell>
          <cell r="E313">
            <v>44.86121202262008</v>
          </cell>
          <cell r="F313">
            <v>49.523393789107622</v>
          </cell>
          <cell r="G313">
            <v>40.72647805814286</v>
          </cell>
          <cell r="H313">
            <v>36.725810230383374</v>
          </cell>
          <cell r="I313">
            <v>32.104016885474778</v>
          </cell>
          <cell r="J313">
            <v>22.279252868976563</v>
          </cell>
          <cell r="K313"/>
        </row>
        <row r="314">
          <cell r="A314" t="str">
            <v>RES-ELCSPEC</v>
          </cell>
          <cell r="B314" t="str">
            <v>VAR_fin</v>
          </cell>
          <cell r="C314" t="str">
            <v>RHSA_ELC</v>
          </cell>
          <cell r="D314">
            <v>44.576954446539794</v>
          </cell>
          <cell r="E314">
            <v>44.86121202262008</v>
          </cell>
          <cell r="F314">
            <v>49.523393789107622</v>
          </cell>
          <cell r="G314">
            <v>40.72647805814286</v>
          </cell>
          <cell r="H314">
            <v>36.725810230383374</v>
          </cell>
          <cell r="I314">
            <v>32.104016885474778</v>
          </cell>
          <cell r="J314">
            <v>22.279252868976563</v>
          </cell>
        </row>
        <row r="315">
          <cell r="A315" t="str">
            <v>RES-ELCSPEC</v>
          </cell>
          <cell r="B315" t="str">
            <v>VAR_ncap</v>
          </cell>
          <cell r="C315" t="str">
            <v>-</v>
          </cell>
          <cell r="D315">
            <v>0.19329384175746001</v>
          </cell>
          <cell r="E315">
            <v>2.4031849342008601E-4</v>
          </cell>
          <cell r="F315">
            <v>0.47608922201013798</v>
          </cell>
          <cell r="G315">
            <v>4.5383945627330897E-5</v>
          </cell>
          <cell r="H315">
            <v>6.4187249986481304E-5</v>
          </cell>
          <cell r="I315">
            <v>3.7328265416388302E-5</v>
          </cell>
          <cell r="J315">
            <v>1.8865158849686801</v>
          </cell>
        </row>
        <row r="316">
          <cell r="A316" t="str">
            <v>RES-ELCSPEC</v>
          </cell>
          <cell r="B316" t="str">
            <v>VAR_cap</v>
          </cell>
          <cell r="C316" t="str">
            <v>-</v>
          </cell>
          <cell r="D316">
            <v>4.7118305258879296</v>
          </cell>
          <cell r="E316">
            <v>4.7426681143768006</v>
          </cell>
          <cell r="F316">
            <v>5.2346109377135805</v>
          </cell>
          <cell r="G316">
            <v>4.304979586959333</v>
          </cell>
          <cell r="H316">
            <v>3.8824346664251017</v>
          </cell>
          <cell r="I316">
            <v>3.3941970378199082</v>
          </cell>
          <cell r="J316">
            <v>2.3549350777358136</v>
          </cell>
          <cell r="K316"/>
        </row>
        <row r="317">
          <cell r="A317" t="str">
            <v>SCOM-SHCONBR1</v>
          </cell>
          <cell r="B317" t="str">
            <v>VAR_fout</v>
          </cell>
          <cell r="C317" t="str">
            <v>SCOM-SHCON</v>
          </cell>
          <cell r="D317"/>
          <cell r="E317">
            <v>2.6179382048769853</v>
          </cell>
          <cell r="F317">
            <v>0.75803682245817983</v>
          </cell>
          <cell r="G317">
            <v>1.3834224056181899</v>
          </cell>
          <cell r="H317">
            <v>1.9831505711146085</v>
          </cell>
          <cell r="I317">
            <v>2.61765930063022</v>
          </cell>
          <cell r="J317">
            <v>2.6178764680302669</v>
          </cell>
          <cell r="K317"/>
        </row>
        <row r="318">
          <cell r="A318" t="str">
            <v>SCOM-SHCONBR1</v>
          </cell>
          <cell r="B318" t="str">
            <v>VAR_fin</v>
          </cell>
          <cell r="C318" t="str">
            <v>CON</v>
          </cell>
          <cell r="D318"/>
          <cell r="E318">
            <v>2.6179382048769853</v>
          </cell>
          <cell r="F318">
            <v>0.75803682245817983</v>
          </cell>
          <cell r="G318">
            <v>1.3834224056181899</v>
          </cell>
          <cell r="H318">
            <v>1.9831505711146085</v>
          </cell>
          <cell r="I318">
            <v>2.61765930063022</v>
          </cell>
          <cell r="J318">
            <v>2.6178764680302669</v>
          </cell>
          <cell r="K318"/>
        </row>
        <row r="319">
          <cell r="A319" t="str">
            <v>SCOM-SHCONBR1</v>
          </cell>
          <cell r="B319" t="str">
            <v>VAR_ncap</v>
          </cell>
          <cell r="C319" t="str">
            <v>-</v>
          </cell>
          <cell r="D319"/>
          <cell r="E319">
            <v>0.202666012530827</v>
          </cell>
          <cell r="F319">
            <v>8.1460107778160799E-6</v>
          </cell>
          <cell r="G319">
            <v>1.4610646642594599E-5</v>
          </cell>
          <cell r="H319">
            <v>9.7076325242794106E-6</v>
          </cell>
          <cell r="I319">
            <v>1.7917150413409799E-2</v>
          </cell>
          <cell r="J319">
            <v>8.6273308310276603E-2</v>
          </cell>
        </row>
        <row r="320">
          <cell r="A320" t="str">
            <v>SCOM-SHCONBR1</v>
          </cell>
          <cell r="B320" t="str">
            <v>VAR_cap</v>
          </cell>
          <cell r="C320" t="str">
            <v>-</v>
          </cell>
          <cell r="E320">
            <v>0.202666012530827</v>
          </cell>
          <cell r="F320">
            <v>0.20266905624602755</v>
          </cell>
          <cell r="G320">
            <v>0.20267597200645995</v>
          </cell>
          <cell r="H320">
            <v>0.20268038344743985</v>
          </cell>
          <cell r="I320">
            <v>0.22060022152960843</v>
          </cell>
          <cell r="J320">
            <v>0.22137202176550216</v>
          </cell>
        </row>
        <row r="321">
          <cell r="A321" t="str">
            <v>RHSA-WHSTG-SOL</v>
          </cell>
          <cell r="B321" t="str">
            <v>VAR_fout</v>
          </cell>
          <cell r="C321" t="str">
            <v>RHSA-WHASOL</v>
          </cell>
          <cell r="D321">
            <v>0.44905828762932315</v>
          </cell>
          <cell r="E321">
            <v>0.45673279269025191</v>
          </cell>
          <cell r="F321">
            <v>0.37327267861651342</v>
          </cell>
          <cell r="G321">
            <v>0.43028594427782146</v>
          </cell>
          <cell r="H321">
            <v>0.36986600497865657</v>
          </cell>
          <cell r="I321">
            <v>0.41538048158922863</v>
          </cell>
          <cell r="J321">
            <v>0.40590325132432042</v>
          </cell>
          <cell r="K321"/>
        </row>
        <row r="322">
          <cell r="A322" t="str">
            <v>RHSA-WHSTG-SOL</v>
          </cell>
          <cell r="B322" t="str">
            <v>VAR_fout</v>
          </cell>
          <cell r="C322" t="str">
            <v>AUX_RHSA-WHSTG-SOL_OUT</v>
          </cell>
          <cell r="D322">
            <v>0.44950734591695229</v>
          </cell>
          <cell r="E322">
            <v>0.45718952548294195</v>
          </cell>
          <cell r="F322">
            <v>0.37364595129512979</v>
          </cell>
          <cell r="G322">
            <v>0.43071623022209926</v>
          </cell>
          <cell r="H322">
            <v>0.37023587098363508</v>
          </cell>
          <cell r="I322">
            <v>0.41579586207081759</v>
          </cell>
          <cell r="J322">
            <v>0.40630915457564482</v>
          </cell>
          <cell r="K322"/>
        </row>
        <row r="323">
          <cell r="A323" t="str">
            <v>RHSA-WHSTG-SOL</v>
          </cell>
          <cell r="B323" t="str">
            <v>VAR_fin</v>
          </cell>
          <cell r="C323" t="str">
            <v>RHSA-WHASOL</v>
          </cell>
          <cell r="D323">
            <v>0.44872887396654254</v>
          </cell>
          <cell r="E323">
            <v>0.45701255262814899</v>
          </cell>
          <cell r="F323">
            <v>0.37353098150345715</v>
          </cell>
          <cell r="G323">
            <v>0.43033595011746339</v>
          </cell>
          <cell r="H323">
            <v>0.36988373507606964</v>
          </cell>
          <cell r="I323">
            <v>0.41536157345730779</v>
          </cell>
          <cell r="J323">
            <v>0.40588447640544884</v>
          </cell>
        </row>
        <row r="324">
          <cell r="A324" t="str">
            <v>RHSA-WHSTG-SOL</v>
          </cell>
          <cell r="B324" t="str">
            <v>VAR_ncap</v>
          </cell>
          <cell r="C324" t="str">
            <v>-</v>
          </cell>
          <cell r="D324">
            <v>7.8147057793906294E-2</v>
          </cell>
          <cell r="E324">
            <v>1.04550837320319E-4</v>
          </cell>
          <cell r="F324">
            <v>1.4442256774281699E-5</v>
          </cell>
          <cell r="G324">
            <v>3.0543906099534198E-5</v>
          </cell>
          <cell r="H324">
            <v>3.7540840928141299E-2</v>
          </cell>
          <cell r="I324">
            <v>2.63130859723609E-2</v>
          </cell>
          <cell r="J324">
            <v>2.6427786134069101E-2</v>
          </cell>
        </row>
        <row r="325">
          <cell r="A325" t="str">
            <v>RHSA-WHSTG-SOL</v>
          </cell>
          <cell r="B325" t="str">
            <v>VAR_cap</v>
          </cell>
          <cell r="C325" t="str">
            <v>-</v>
          </cell>
          <cell r="D325">
            <v>7.8148120346869895E-2</v>
          </cell>
          <cell r="E325">
            <v>7.8252671184190201E-2</v>
          </cell>
          <cell r="F325">
            <v>7.82671134409645E-2</v>
          </cell>
          <cell r="G325">
            <v>7.8297657347063995E-2</v>
          </cell>
          <cell r="H325">
            <v>5.7905897988671073E-2</v>
          </cell>
          <cell r="I325">
            <v>6.3877346010507693E-2</v>
          </cell>
          <cell r="J325">
            <v>6.14036496603724E-2</v>
          </cell>
        </row>
        <row r="326">
          <cell r="A326" t="str">
            <v>SCOM-SHCONBR2</v>
          </cell>
          <cell r="B326" t="str">
            <v>VAR_fout</v>
          </cell>
          <cell r="C326" t="str">
            <v>SCOM-SHCON</v>
          </cell>
          <cell r="D326"/>
          <cell r="E326">
            <v>4.0772364341206604</v>
          </cell>
          <cell r="F326">
            <v>0.94794613297323627</v>
          </cell>
          <cell r="G326">
            <v>2.2185656920952073</v>
          </cell>
          <cell r="H326">
            <v>3.2751860924992906</v>
          </cell>
          <cell r="I326">
            <v>4.0770561500353386</v>
          </cell>
          <cell r="J326">
            <v>4.0773432794073852</v>
          </cell>
          <cell r="K326"/>
        </row>
        <row r="327">
          <cell r="A327" t="str">
            <v>SCOM-SHCONBR2</v>
          </cell>
          <cell r="B327" t="str">
            <v>VAR_fin</v>
          </cell>
          <cell r="C327" t="str">
            <v>CON</v>
          </cell>
          <cell r="D327"/>
          <cell r="E327">
            <v>4.0772364341206604</v>
          </cell>
          <cell r="F327">
            <v>0.94794613297323627</v>
          </cell>
          <cell r="G327">
            <v>2.2185656920952073</v>
          </cell>
          <cell r="H327">
            <v>3.2751860924992906</v>
          </cell>
          <cell r="I327">
            <v>4.0770561500353386</v>
          </cell>
          <cell r="J327">
            <v>4.0773432794073852</v>
          </cell>
          <cell r="K327"/>
        </row>
        <row r="328">
          <cell r="A328" t="str">
            <v>SCOM-SHCONBR2</v>
          </cell>
          <cell r="B328" t="str">
            <v>VAR_ncap</v>
          </cell>
          <cell r="C328" t="str">
            <v>-</v>
          </cell>
          <cell r="D328"/>
          <cell r="E328">
            <v>0.31541671970462198</v>
          </cell>
          <cell r="F328">
            <v>8.5454900541924606E-6</v>
          </cell>
          <cell r="G328">
            <v>2.0247467911461101E-5</v>
          </cell>
          <cell r="H328">
            <v>1.03196653340116E-5</v>
          </cell>
          <cell r="I328">
            <v>1.8539240320225001E-2</v>
          </cell>
          <cell r="J328">
            <v>0.130232692947861</v>
          </cell>
        </row>
        <row r="329">
          <cell r="A329" t="str">
            <v>SCOM-SHCONBR2</v>
          </cell>
          <cell r="B329" t="str">
            <v>VAR_cap</v>
          </cell>
          <cell r="C329" t="str">
            <v>-</v>
          </cell>
          <cell r="D329"/>
          <cell r="E329">
            <v>0.31541671970462198</v>
          </cell>
          <cell r="F329">
            <v>0.31542011877057458</v>
          </cell>
          <cell r="G329">
            <v>0.31543285223933665</v>
          </cell>
          <cell r="H329">
            <v>0.31543823606944188</v>
          </cell>
          <cell r="I329">
            <v>0.33398058172780121</v>
          </cell>
          <cell r="J329">
            <v>0.33114207746326979</v>
          </cell>
          <cell r="K329"/>
        </row>
        <row r="330">
          <cell r="A330" t="str">
            <v>SCOM-SHCONBR3</v>
          </cell>
          <cell r="B330" t="str">
            <v>VAR_fout</v>
          </cell>
          <cell r="C330" t="str">
            <v>SCOM-SHCON</v>
          </cell>
          <cell r="D330"/>
          <cell r="E330">
            <v>2.3310096814958956</v>
          </cell>
          <cell r="F330">
            <v>0.57112993032906034</v>
          </cell>
          <cell r="G330">
            <v>1.0396988621990344</v>
          </cell>
          <cell r="H330">
            <v>1.6761353165635997</v>
          </cell>
          <cell r="I330">
            <v>2.4046515550524963</v>
          </cell>
          <cell r="J330">
            <v>3.2761780559345182</v>
          </cell>
          <cell r="K330"/>
        </row>
        <row r="331">
          <cell r="A331" t="str">
            <v>SCOM-SHCONBR3</v>
          </cell>
          <cell r="B331" t="str">
            <v>VAR_fin</v>
          </cell>
          <cell r="C331" t="str">
            <v>CON</v>
          </cell>
          <cell r="D331"/>
          <cell r="E331">
            <v>2.3310096814958956</v>
          </cell>
          <cell r="F331">
            <v>0.57112993032906034</v>
          </cell>
          <cell r="G331">
            <v>1.0396988621990344</v>
          </cell>
          <cell r="H331">
            <v>1.6761353165635997</v>
          </cell>
          <cell r="I331">
            <v>2.4046515550524963</v>
          </cell>
          <cell r="J331">
            <v>3.2761780559345182</v>
          </cell>
        </row>
        <row r="332">
          <cell r="A332" t="str">
            <v>SCOM-SHCONBR3</v>
          </cell>
          <cell r="B332" t="str">
            <v>VAR_ncap</v>
          </cell>
          <cell r="C332" t="str">
            <v>-</v>
          </cell>
          <cell r="D332"/>
          <cell r="E332">
            <v>0.18036162124863001</v>
          </cell>
          <cell r="F332">
            <v>6.2939738756010897E-6</v>
          </cell>
          <cell r="G332">
            <v>1.8242870938722101E-5</v>
          </cell>
          <cell r="H332">
            <v>6.1267087263804997E-6</v>
          </cell>
          <cell r="I332">
            <v>6.0531570340570202E-3</v>
          </cell>
          <cell r="J332">
            <v>0.143173251282531</v>
          </cell>
          <cell r="K332"/>
        </row>
        <row r="333">
          <cell r="A333" t="str">
            <v>SCOM-SHCONBR3</v>
          </cell>
          <cell r="B333" t="str">
            <v>VAR_cap</v>
          </cell>
          <cell r="C333" t="str">
            <v>-</v>
          </cell>
          <cell r="D333"/>
          <cell r="E333">
            <v>0.18036162124863001</v>
          </cell>
          <cell r="F333">
            <v>0.18036334165438661</v>
          </cell>
          <cell r="G333">
            <v>0.18037549285654381</v>
          </cell>
          <cell r="H333">
            <v>0.18037832306489571</v>
          </cell>
          <cell r="I333">
            <v>0.18643544027428621</v>
          </cell>
          <cell r="J333">
            <v>0.25351676790346961</v>
          </cell>
          <cell r="K333"/>
        </row>
        <row r="334">
          <cell r="A334" t="str">
            <v>SCOM-SHCONBR4</v>
          </cell>
          <cell r="B334" t="str">
            <v>VAR_fout</v>
          </cell>
          <cell r="C334" t="str">
            <v>SCOM-SHCON</v>
          </cell>
          <cell r="D334"/>
          <cell r="E334">
            <v>3.5813862341337974E-2</v>
          </cell>
          <cell r="F334">
            <v>1.7186035097943177E-2</v>
          </cell>
          <cell r="G334">
            <v>1.8194804341797089E-2</v>
          </cell>
          <cell r="H334">
            <v>1.9720247977388073E-2</v>
          </cell>
          <cell r="I334">
            <v>3.4359429784250668E-2</v>
          </cell>
          <cell r="J334">
            <v>3.2865805346304051</v>
          </cell>
          <cell r="K334"/>
        </row>
        <row r="335">
          <cell r="A335" t="str">
            <v>SCOM-SHCONBR4</v>
          </cell>
          <cell r="B335" t="str">
            <v>VAR_fin</v>
          </cell>
          <cell r="C335" t="str">
            <v>CON</v>
          </cell>
          <cell r="D335"/>
          <cell r="E335">
            <v>3.5813862341337974E-2</v>
          </cell>
          <cell r="F335">
            <v>1.7186035097943177E-2</v>
          </cell>
          <cell r="G335">
            <v>1.8194804341797089E-2</v>
          </cell>
          <cell r="H335">
            <v>1.9720247977388073E-2</v>
          </cell>
          <cell r="I335">
            <v>3.4359429784250668E-2</v>
          </cell>
          <cell r="J335">
            <v>3.2865805346304051</v>
          </cell>
          <cell r="K335"/>
        </row>
        <row r="336">
          <cell r="A336" t="str">
            <v>SCOM-SHCONBR4</v>
          </cell>
          <cell r="B336" t="str">
            <v>VAR_ncap</v>
          </cell>
          <cell r="C336" t="str">
            <v>-</v>
          </cell>
          <cell r="D336"/>
          <cell r="E336">
            <v>2.9713482136123999E-3</v>
          </cell>
          <cell r="F336">
            <v>5.4365050677787496E-6</v>
          </cell>
          <cell r="G336">
            <v>1.385723965344E-5</v>
          </cell>
          <cell r="H336">
            <v>4.5618527056896603E-6</v>
          </cell>
          <cell r="I336">
            <v>4.3185483311026102E-5</v>
          </cell>
          <cell r="J336">
            <v>0.25239767398235002</v>
          </cell>
          <cell r="K336"/>
        </row>
        <row r="337">
          <cell r="A337" t="str">
            <v>SCOM-SHCONBR4</v>
          </cell>
          <cell r="B337" t="str">
            <v>VAR_cap</v>
          </cell>
          <cell r="C337" t="str">
            <v>-</v>
          </cell>
          <cell r="D337"/>
          <cell r="E337">
            <v>2.9713482136123999E-3</v>
          </cell>
          <cell r="F337">
            <v>2.9737660382763349E-3</v>
          </cell>
          <cell r="G337">
            <v>2.9828677769021682E-3</v>
          </cell>
          <cell r="H337">
            <v>2.9840137956372356E-3</v>
          </cell>
          <cell r="I337">
            <v>3.0300626699982817E-3</v>
          </cell>
          <cell r="J337">
            <v>0.25417622991156241</v>
          </cell>
          <cell r="K337"/>
        </row>
        <row r="338">
          <cell r="A338" t="str">
            <v>RHEM-SHNGABR</v>
          </cell>
          <cell r="B338" t="str">
            <v>VAR_fout</v>
          </cell>
          <cell r="C338" t="str">
            <v>CO2_R</v>
          </cell>
          <cell r="D338">
            <v>1127.97272019907</v>
          </cell>
          <cell r="E338">
            <v>1120.96952212052</v>
          </cell>
          <cell r="F338">
            <v>1260.6116011224699</v>
          </cell>
          <cell r="G338">
            <v>909.76400001043805</v>
          </cell>
          <cell r="H338">
            <v>566.40829486924599</v>
          </cell>
          <cell r="I338">
            <v>230.79134630894501</v>
          </cell>
          <cell r="J338">
            <v>85.864841403745402</v>
          </cell>
          <cell r="K338"/>
        </row>
        <row r="339">
          <cell r="A339" t="str">
            <v>RHEM-SHNGABR</v>
          </cell>
          <cell r="B339" t="str">
            <v>VAR_fout</v>
          </cell>
          <cell r="C339" t="str">
            <v>RHEM-SHNGA</v>
          </cell>
          <cell r="D339">
            <v>18.999540499806997</v>
          </cell>
          <cell r="E339">
            <v>18.881578830044191</v>
          </cell>
          <cell r="F339">
            <v>21.081515944282845</v>
          </cell>
          <cell r="G339">
            <v>15.214205751142652</v>
          </cell>
          <cell r="H339">
            <v>9.4721843656109783</v>
          </cell>
          <cell r="I339">
            <v>3.8595800980113828</v>
          </cell>
          <cell r="J339">
            <v>1.4359387312432954</v>
          </cell>
        </row>
        <row r="340">
          <cell r="A340" t="str">
            <v>RHEM-SHNGABR</v>
          </cell>
          <cell r="B340" t="str">
            <v>VAR_fin</v>
          </cell>
          <cell r="C340" t="str">
            <v>RNGA</v>
          </cell>
          <cell r="D340">
            <v>19.999516315586309</v>
          </cell>
          <cell r="E340">
            <v>19.875346136888588</v>
          </cell>
          <cell r="F340">
            <v>22.351269523448014</v>
          </cell>
          <cell r="G340">
            <v>16.130567376071603</v>
          </cell>
          <cell r="H340">
            <v>10.042700263639116</v>
          </cell>
          <cell r="I340">
            <v>4.0920451473217314</v>
          </cell>
          <cell r="J340">
            <v>1.5224262660238541</v>
          </cell>
          <cell r="K340"/>
        </row>
        <row r="341">
          <cell r="A341" t="str">
            <v>RHEM-SHNGABR</v>
          </cell>
          <cell r="B341" t="str">
            <v>VAR_ncap</v>
          </cell>
          <cell r="C341" t="str">
            <v>-</v>
          </cell>
          <cell r="D341"/>
          <cell r="E341">
            <v>4.60967217305965E-4</v>
          </cell>
          <cell r="F341">
            <v>0.142030657945828</v>
          </cell>
          <cell r="G341">
            <v>1.2879825674397001E-5</v>
          </cell>
          <cell r="H341">
            <v>0.194130618678369</v>
          </cell>
          <cell r="I341">
            <v>5.8896462396693001E-2</v>
          </cell>
          <cell r="J341">
            <v>8.8694199501568306E-6</v>
          </cell>
          <cell r="K341"/>
        </row>
        <row r="342">
          <cell r="A342" t="str">
            <v>RHEM-SHNGABR</v>
          </cell>
          <cell r="B342" t="str">
            <v>VAR_cap</v>
          </cell>
          <cell r="C342" t="str">
            <v>-</v>
          </cell>
          <cell r="D342">
            <v>1.34683498965227</v>
          </cell>
          <cell r="E342">
            <v>1.3472878198689167</v>
          </cell>
          <cell r="F342">
            <v>1.4893169983016741</v>
          </cell>
          <cell r="G342">
            <v>1.488656461458965</v>
          </cell>
          <cell r="H342">
            <v>0.68542386327495253</v>
          </cell>
          <cell r="I342">
            <v>0.27817163638149828</v>
          </cell>
          <cell r="J342">
            <v>0.12478409850713032</v>
          </cell>
        </row>
        <row r="343">
          <cell r="A343" t="str">
            <v>RHNS-SHCONBR1</v>
          </cell>
          <cell r="B343" t="str">
            <v>VAR_ncap</v>
          </cell>
          <cell r="C343" t="str">
            <v>-</v>
          </cell>
          <cell r="D343"/>
          <cell r="F343">
            <v>375</v>
          </cell>
          <cell r="G343">
            <v>4.7310676183725198</v>
          </cell>
          <cell r="H343">
            <v>4.3003918622550996</v>
          </cell>
          <cell r="I343"/>
          <cell r="J343"/>
        </row>
        <row r="344">
          <cell r="A344" t="str">
            <v>RHNS-SHCONBR1</v>
          </cell>
          <cell r="B344" t="str">
            <v>VAR_cap</v>
          </cell>
          <cell r="C344" t="str">
            <v>-</v>
          </cell>
          <cell r="D344"/>
          <cell r="F344">
            <v>375</v>
          </cell>
          <cell r="G344">
            <v>11.848368678838995</v>
          </cell>
          <cell r="H344">
            <v>10.947118884982956</v>
          </cell>
          <cell r="I344">
            <v>6.3311927241859962</v>
          </cell>
          <cell r="J344">
            <v>2.8355470014540174</v>
          </cell>
        </row>
        <row r="345">
          <cell r="A345" t="str">
            <v>SCOM-SHCONBR5</v>
          </cell>
          <cell r="B345" t="str">
            <v>VAR_fout</v>
          </cell>
          <cell r="C345" t="str">
            <v>SCOM-SHCON</v>
          </cell>
          <cell r="D345"/>
          <cell r="E345">
            <v>2.6982497403005363E-2</v>
          </cell>
          <cell r="F345">
            <v>1.3022517269351408E-2</v>
          </cell>
          <cell r="G345">
            <v>1.3866083699543577E-2</v>
          </cell>
          <cell r="H345">
            <v>1.4976973248824545E-2</v>
          </cell>
          <cell r="I345">
            <v>2.5309858025686E-2</v>
          </cell>
          <cell r="J345">
            <v>0.58581212722343667</v>
          </cell>
          <cell r="K345"/>
        </row>
        <row r="346">
          <cell r="A346" t="str">
            <v>SCOM-SHCONBR5</v>
          </cell>
          <cell r="B346" t="str">
            <v>VAR_fin</v>
          </cell>
          <cell r="C346" t="str">
            <v>CON</v>
          </cell>
          <cell r="D346"/>
          <cell r="E346">
            <v>2.6982497403005363E-2</v>
          </cell>
          <cell r="F346">
            <v>1.3022517269351408E-2</v>
          </cell>
          <cell r="G346">
            <v>1.3866083699543577E-2</v>
          </cell>
          <cell r="H346">
            <v>1.4976973248824545E-2</v>
          </cell>
          <cell r="I346">
            <v>2.5309858025686E-2</v>
          </cell>
          <cell r="J346">
            <v>0.58581212722343667</v>
          </cell>
          <cell r="K346"/>
        </row>
        <row r="347">
          <cell r="A347" t="str">
            <v>SCOM-SHCONBR5</v>
          </cell>
          <cell r="B347" t="str">
            <v>VAR_ncap</v>
          </cell>
          <cell r="C347" t="str">
            <v>-</v>
          </cell>
          <cell r="D347"/>
          <cell r="E347">
            <v>2.2796818360879198E-3</v>
          </cell>
          <cell r="F347">
            <v>5.3309817953933397E-6</v>
          </cell>
          <cell r="G347">
            <v>1.3324196696740399E-5</v>
          </cell>
          <cell r="H347">
            <v>4.3227793461048997E-6</v>
          </cell>
          <cell r="I347">
            <v>6.8933359177075303E-6</v>
          </cell>
          <cell r="J347">
            <v>4.4117503214027999E-2</v>
          </cell>
          <cell r="K347"/>
        </row>
        <row r="348">
          <cell r="A348" t="str">
            <v>SCOM-SHCONBR5</v>
          </cell>
          <cell r="B348" t="str">
            <v>VAR_cap</v>
          </cell>
          <cell r="C348" t="str">
            <v>-</v>
          </cell>
          <cell r="D348"/>
          <cell r="E348">
            <v>2.2796818360879198E-3</v>
          </cell>
          <cell r="F348">
            <v>2.2823060069849816E-3</v>
          </cell>
          <cell r="G348">
            <v>2.2912409591563446E-3</v>
          </cell>
          <cell r="H348">
            <v>2.2921848022823439E-3</v>
          </cell>
          <cell r="I348">
            <v>2.301668395734082E-3</v>
          </cell>
          <cell r="J348">
            <v>4.5459370735549856E-2</v>
          </cell>
          <cell r="K348"/>
        </row>
        <row r="349">
          <cell r="A349" t="str">
            <v>RHNS-SHCONBR2</v>
          </cell>
          <cell r="B349" t="str">
            <v>VAR_ncap</v>
          </cell>
          <cell r="C349" t="str">
            <v>-</v>
          </cell>
          <cell r="D349"/>
          <cell r="F349">
            <v>375</v>
          </cell>
          <cell r="G349">
            <v>4.73106761837278</v>
          </cell>
          <cell r="H349">
            <v>4.3003918622553901</v>
          </cell>
          <cell r="I349"/>
          <cell r="J349"/>
          <cell r="K349"/>
        </row>
        <row r="350">
          <cell r="A350" t="str">
            <v>RHNS-SHCONBR2</v>
          </cell>
          <cell r="B350" t="str">
            <v>VAR_cap</v>
          </cell>
          <cell r="C350" t="str">
            <v>-</v>
          </cell>
          <cell r="D350"/>
          <cell r="F350">
            <v>375</v>
          </cell>
          <cell r="G350">
            <v>11.848368678838028</v>
          </cell>
          <cell r="H350">
            <v>10.947118884980966</v>
          </cell>
          <cell r="I350">
            <v>6.3311927241839498</v>
          </cell>
          <cell r="J350">
            <v>2.8355470014540174</v>
          </cell>
          <cell r="K350"/>
        </row>
        <row r="351">
          <cell r="A351" t="str">
            <v>RHES-SHSTG-ELCHP</v>
          </cell>
          <cell r="B351" t="str">
            <v>VAR_fout</v>
          </cell>
          <cell r="C351" t="str">
            <v>RHES-SHAELCH</v>
          </cell>
          <cell r="D351">
            <v>1.0740071981839934</v>
          </cell>
          <cell r="E351">
            <v>1.2396664994643132</v>
          </cell>
          <cell r="F351">
            <v>2.9560109702515494</v>
          </cell>
          <cell r="G351">
            <v>3.7478696944793182</v>
          </cell>
          <cell r="H351">
            <v>3.4883280756247852</v>
          </cell>
          <cell r="I351">
            <v>3.5303736211767678</v>
          </cell>
          <cell r="J351">
            <v>3.6261749046966427</v>
          </cell>
          <cell r="K351"/>
        </row>
        <row r="352">
          <cell r="A352" t="str">
            <v>RHES-SHSTG-ELCHP</v>
          </cell>
          <cell r="B352" t="str">
            <v>VAR_fout</v>
          </cell>
          <cell r="C352" t="str">
            <v>AUX_RHES-SHSTG-ELCHP_OUT</v>
          </cell>
          <cell r="D352">
            <v>1.0750812053821774</v>
          </cell>
          <cell r="E352">
            <v>1.240906165963777</v>
          </cell>
          <cell r="F352">
            <v>2.9589669812218</v>
          </cell>
          <cell r="G352">
            <v>3.7516175641737948</v>
          </cell>
          <cell r="H352">
            <v>3.4918164037004109</v>
          </cell>
          <cell r="I352">
            <v>3.5339039947979445</v>
          </cell>
          <cell r="J352">
            <v>3.6298010796013411</v>
          </cell>
          <cell r="K352"/>
        </row>
        <row r="353">
          <cell r="A353" t="str">
            <v>RHES-SHSTG-ELCHP</v>
          </cell>
          <cell r="B353" t="str">
            <v>VAR_fin</v>
          </cell>
          <cell r="C353" t="str">
            <v>RHES-SHAELCH</v>
          </cell>
          <cell r="D353">
            <v>1.0743072332162378</v>
          </cell>
          <cell r="E353">
            <v>1.239815880542537</v>
          </cell>
          <cell r="F353">
            <v>2.9560510876050463</v>
          </cell>
          <cell r="G353">
            <v>3.7479629562017847</v>
          </cell>
          <cell r="H353">
            <v>3.4884351032824861</v>
          </cell>
          <cell r="I353">
            <v>3.5304769667322988</v>
          </cell>
          <cell r="J353">
            <v>3.6262892507151201</v>
          </cell>
          <cell r="K353"/>
        </row>
        <row r="354">
          <cell r="A354" t="str">
            <v>RHES-SHSTG-ELCHP</v>
          </cell>
          <cell r="B354" t="str">
            <v>VAR_ncap</v>
          </cell>
          <cell r="C354" t="str">
            <v>-</v>
          </cell>
          <cell r="D354">
            <v>0.147686296336562</v>
          </cell>
          <cell r="E354">
            <v>1.1292186294184099E-3</v>
          </cell>
          <cell r="F354">
            <v>0.136505231302537</v>
          </cell>
          <cell r="G354">
            <v>5.5980133696504099E-2</v>
          </cell>
          <cell r="H354">
            <v>0.13465744107080199</v>
          </cell>
          <cell r="I354">
            <v>0.19273615041300801</v>
          </cell>
          <cell r="J354">
            <v>0.17754848706005499</v>
          </cell>
          <cell r="K354"/>
        </row>
        <row r="355">
          <cell r="A355" t="str">
            <v>RHES-SHSTG-ELCHP</v>
          </cell>
          <cell r="B355" t="str">
            <v>VAR_cap</v>
          </cell>
          <cell r="C355" t="str">
            <v>-</v>
          </cell>
          <cell r="D355">
            <v>0.147686296336562</v>
          </cell>
          <cell r="E355">
            <v>0.14650066386113492</v>
          </cell>
          <cell r="F355">
            <v>0.28266669275050726</v>
          </cell>
          <cell r="G355">
            <v>0.33829384739392432</v>
          </cell>
          <cell r="H355">
            <v>0.36286524322301861</v>
          </cell>
          <cell r="I355">
            <v>0.38869981373579587</v>
          </cell>
          <cell r="J355">
            <v>0.37365108186954094</v>
          </cell>
          <cell r="K355"/>
        </row>
        <row r="356">
          <cell r="A356" t="str">
            <v>SCOM-SHCONBR6</v>
          </cell>
          <cell r="B356" t="str">
            <v>VAR_fout</v>
          </cell>
          <cell r="C356" t="str">
            <v>SCOM-SHCON</v>
          </cell>
          <cell r="D356"/>
          <cell r="E356">
            <v>1.6313007320769193E-2</v>
          </cell>
          <cell r="F356">
            <v>8.1684608800727775E-3</v>
          </cell>
          <cell r="G356">
            <v>8.6661290366681597E-3</v>
          </cell>
          <cell r="H356">
            <v>9.1826921665011038E-3</v>
          </cell>
          <cell r="I356">
            <v>1.5021758719123389E-2</v>
          </cell>
          <cell r="J356">
            <v>1.014662149331759E-2</v>
          </cell>
          <cell r="K356"/>
        </row>
        <row r="357">
          <cell r="A357" t="str">
            <v>SCOM-SHCONBR6</v>
          </cell>
          <cell r="B357" t="str">
            <v>VAR_fin</v>
          </cell>
          <cell r="C357" t="str">
            <v>CON</v>
          </cell>
          <cell r="D357"/>
          <cell r="E357">
            <v>1.6313007320769193E-2</v>
          </cell>
          <cell r="F357">
            <v>8.1684608800727775E-3</v>
          </cell>
          <cell r="G357">
            <v>8.6661290366681597E-3</v>
          </cell>
          <cell r="H357">
            <v>9.1826921665011038E-3</v>
          </cell>
          <cell r="I357">
            <v>1.5021758719123389E-2</v>
          </cell>
          <cell r="J357">
            <v>1.014662149331759E-2</v>
          </cell>
          <cell r="K357"/>
        </row>
        <row r="358">
          <cell r="A358" t="str">
            <v>SCOM-SHCONBR6</v>
          </cell>
          <cell r="B358" t="str">
            <v>VAR_ncap</v>
          </cell>
          <cell r="C358" t="str">
            <v>-</v>
          </cell>
          <cell r="E358">
            <v>1.4298021534303899E-3</v>
          </cell>
          <cell r="F358">
            <v>4.9297704257264599E-6</v>
          </cell>
          <cell r="G358">
            <v>1.31193852402964E-5</v>
          </cell>
          <cell r="H358">
            <v>3.6388867608080701E-6</v>
          </cell>
          <cell r="I358">
            <v>4.0320712650553597E-6</v>
          </cell>
          <cell r="J358">
            <v>7.0790886948318398E-5</v>
          </cell>
          <cell r="K358"/>
        </row>
        <row r="359">
          <cell r="A359" t="str">
            <v>SCOM-SHCONBR6</v>
          </cell>
          <cell r="B359" t="str">
            <v>VAR_cap</v>
          </cell>
          <cell r="C359" t="str">
            <v>-</v>
          </cell>
          <cell r="D359"/>
          <cell r="E359">
            <v>1.4298021534303899E-3</v>
          </cell>
          <cell r="F359">
            <v>1.4326222955666208E-3</v>
          </cell>
          <cell r="G359">
            <v>1.4422408178356688E-3</v>
          </cell>
          <cell r="H359">
            <v>1.4427614380631056E-3</v>
          </cell>
          <cell r="I359">
            <v>1.4486430856024482E-3</v>
          </cell>
          <cell r="J359">
            <v>9.1797921168284777E-4</v>
          </cell>
          <cell r="K359"/>
        </row>
        <row r="360">
          <cell r="A360" t="str">
            <v>RHNM-SHDEM</v>
          </cell>
          <cell r="B360" t="str">
            <v>VAR_fout</v>
          </cell>
          <cell r="C360" t="str">
            <v>RHNM-SHD</v>
          </cell>
          <cell r="D360"/>
          <cell r="E360">
            <v>1.2071502183152301</v>
          </cell>
          <cell r="F360">
            <v>1.4940672474796899</v>
          </cell>
          <cell r="G360">
            <v>2.7265280033424797</v>
          </cell>
          <cell r="H360">
            <v>3.5735945294822868</v>
          </cell>
          <cell r="I360">
            <v>4.2100864621501017</v>
          </cell>
          <cell r="J360">
            <v>4.9967985117250997</v>
          </cell>
          <cell r="K360"/>
        </row>
        <row r="361">
          <cell r="A361" t="str">
            <v>RHNM-SHDEM</v>
          </cell>
          <cell r="B361" t="str">
            <v>VAR_fin</v>
          </cell>
          <cell r="C361" t="str">
            <v>RHNM-SHLFO</v>
          </cell>
          <cell r="D361"/>
          <cell r="E361">
            <v>3.3414628808709969E-2</v>
          </cell>
          <cell r="F361">
            <v>5.9364813418117633E-2</v>
          </cell>
          <cell r="G361">
            <v>9.2696925855734622E-2</v>
          </cell>
          <cell r="H361">
            <v>9.220617779233356E-2</v>
          </cell>
          <cell r="I361">
            <v>6.3852628780661877E-2</v>
          </cell>
          <cell r="J361">
            <v>5.3640800723962052E-4</v>
          </cell>
          <cell r="K361"/>
        </row>
        <row r="362">
          <cell r="A362" t="str">
            <v>RHNM-SHDEM</v>
          </cell>
          <cell r="B362" t="str">
            <v>VAR_fin</v>
          </cell>
          <cell r="C362" t="str">
            <v>RHNM-SHLTHD</v>
          </cell>
          <cell r="D362"/>
          <cell r="E362">
            <v>0.2304657906224763</v>
          </cell>
          <cell r="F362">
            <v>5.026878588593528E-2</v>
          </cell>
          <cell r="G362">
            <v>0.22880547172923224</v>
          </cell>
          <cell r="H362">
            <v>0.26534778751839305</v>
          </cell>
          <cell r="I362">
            <v>0.30884040383178041</v>
          </cell>
          <cell r="J362">
            <v>0.37886810662453618</v>
          </cell>
          <cell r="K362"/>
        </row>
        <row r="363">
          <cell r="A363" t="str">
            <v>RHNM-SHDEM</v>
          </cell>
          <cell r="B363" t="str">
            <v>VAR_fin</v>
          </cell>
          <cell r="C363" t="str">
            <v>RHNM-SHCON</v>
          </cell>
          <cell r="D363"/>
          <cell r="F363">
            <v>2.3543076813399379E-2</v>
          </cell>
          <cell r="G363">
            <v>2.3607720378268787E-2</v>
          </cell>
          <cell r="H363">
            <v>2.6775095471073831E-2</v>
          </cell>
          <cell r="I363">
            <v>2.7574022251344678E-2</v>
          </cell>
          <cell r="J363">
            <v>2.6967833521528543E-2</v>
          </cell>
          <cell r="K363"/>
        </row>
        <row r="364">
          <cell r="A364" t="str">
            <v>RHNM-SHDEM</v>
          </cell>
          <cell r="B364" t="str">
            <v>VAR_fin</v>
          </cell>
          <cell r="C364" t="str">
            <v>RHNM-SHELCB</v>
          </cell>
          <cell r="D364"/>
          <cell r="E364">
            <v>0.11985396678813839</v>
          </cell>
          <cell r="F364">
            <v>4.6972050935477176E-3</v>
          </cell>
          <cell r="G364">
            <v>5.5417606227858704E-3</v>
          </cell>
          <cell r="H364">
            <v>6.1655505941002721E-3</v>
          </cell>
          <cell r="I364">
            <v>5.7764982678068311E-3</v>
          </cell>
          <cell r="J364">
            <v>6.9006781836974561E-3</v>
          </cell>
        </row>
        <row r="365">
          <cell r="A365" t="str">
            <v>RHNM-SHDEM</v>
          </cell>
          <cell r="B365" t="str">
            <v>VAR_fin</v>
          </cell>
          <cell r="C365" t="str">
            <v>RHNM-SHWOD</v>
          </cell>
          <cell r="D365"/>
          <cell r="E365">
            <v>6.9841489919059641E-2</v>
          </cell>
          <cell r="F365">
            <v>5.1625544836898768E-2</v>
          </cell>
          <cell r="G365">
            <v>8.3463208904477199E-2</v>
          </cell>
          <cell r="H365">
            <v>8.7869780912806048E-2</v>
          </cell>
          <cell r="I365">
            <v>9.3210143032357973E-2</v>
          </cell>
          <cell r="J365">
            <v>8.2731751560227482E-2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RHNM-SHELCH</v>
          </cell>
          <cell r="D366"/>
          <cell r="E366">
            <v>3.5510341365491686E-2</v>
          </cell>
          <cell r="F366">
            <v>0.92514934630880052</v>
          </cell>
          <cell r="G366">
            <v>1.428719920957449</v>
          </cell>
          <cell r="H366">
            <v>1.9360347329962166</v>
          </cell>
          <cell r="I366">
            <v>2.3579364254361765</v>
          </cell>
          <cell r="J366">
            <v>2.9942090871133207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RHNM-SHNST</v>
          </cell>
          <cell r="D367"/>
          <cell r="E367">
            <v>8.0215783934090984E-3</v>
          </cell>
          <cell r="F367">
            <v>1.6002383561310087E-3</v>
          </cell>
          <cell r="G367">
            <v>2.2124738730015339E-3</v>
          </cell>
          <cell r="H367">
            <v>1.6832423143797483E-3</v>
          </cell>
          <cell r="I367">
            <v>2.343070165584465E-3</v>
          </cell>
          <cell r="J367">
            <v>1.0580973492087531E-4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RHNM-SHPLT</v>
          </cell>
          <cell r="D368"/>
          <cell r="E368">
            <v>6.4708754969214952E-2</v>
          </cell>
          <cell r="F368">
            <v>8.7899480072555145E-3</v>
          </cell>
          <cell r="G368">
            <v>1.6986951272929124E-2</v>
          </cell>
          <cell r="H368">
            <v>1.9716036876625181E-2</v>
          </cell>
          <cell r="I368">
            <v>2.2358635423137711E-2</v>
          </cell>
          <cell r="J368">
            <v>2.7487520046097873E-2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RHNM-SHLTHC-NGA</v>
          </cell>
          <cell r="E369">
            <v>3.3857180231233547E-2</v>
          </cell>
          <cell r="F369">
            <v>5.4116242849267893E-4</v>
          </cell>
          <cell r="G369">
            <v>5.8057325257178188E-4</v>
          </cell>
          <cell r="H369">
            <v>3.2538815872005004E-4</v>
          </cell>
          <cell r="I369">
            <v>2.4248701215603014E-4</v>
          </cell>
          <cell r="J369">
            <v>3.2779946853094956E-3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RHNM-SHSOL</v>
          </cell>
          <cell r="E370">
            <v>3.9982570370686019E-2</v>
          </cell>
          <cell r="F370">
            <v>4.542866615380994E-3</v>
          </cell>
          <cell r="G370">
            <v>5.0893594797164149E-3</v>
          </cell>
          <cell r="H370">
            <v>5.657061365227584E-3</v>
          </cell>
          <cell r="I370">
            <v>5.0792895073811881E-3</v>
          </cell>
          <cell r="J370">
            <v>6.3196432834355058E-3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RHNM-SHLTHC-WOD</v>
          </cell>
          <cell r="E371">
            <v>6.3252028723277606E-3</v>
          </cell>
          <cell r="F371">
            <v>7.3657936524618216E-4</v>
          </cell>
          <cell r="G371">
            <v>3.901930270104871E-4</v>
          </cell>
          <cell r="H371">
            <v>1.5486112153335204E-3</v>
          </cell>
          <cell r="I371">
            <v>5.895651568826101E-4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RHNM-SHNGAH</v>
          </cell>
          <cell r="E372">
            <v>7.5930148482105993E-3</v>
          </cell>
          <cell r="F372">
            <v>0.26125990626572737</v>
          </cell>
          <cell r="G372">
            <v>0.6971580384077507</v>
          </cell>
          <cell r="H372">
            <v>0.99135293870382502</v>
          </cell>
          <cell r="I372">
            <v>1.2386740121591773</v>
          </cell>
          <cell r="J372">
            <v>1.4716284862846518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RHNM-SHNGA</v>
          </cell>
          <cell r="D373"/>
          <cell r="E373">
            <v>0.56035727647009803</v>
          </cell>
          <cell r="F373">
            <v>0.10634813327629823</v>
          </cell>
          <cell r="G373">
            <v>0.14523168089482347</v>
          </cell>
          <cell r="H373">
            <v>0.14293328427907057</v>
          </cell>
          <cell r="I373">
            <v>8.6762070245557252E-2</v>
          </cell>
          <cell r="J373">
            <v>4.3673428390307799E-5</v>
          </cell>
        </row>
        <row r="374">
          <cell r="A374" t="str">
            <v>SCOM-STG-ELCSPEC</v>
          </cell>
          <cell r="B374" t="str">
            <v>VAR_fout</v>
          </cell>
          <cell r="C374" t="str">
            <v>SCOM-ELS</v>
          </cell>
          <cell r="E374">
            <v>0.22625251185451281</v>
          </cell>
          <cell r="F374">
            <v>0.23044032285380323</v>
          </cell>
          <cell r="G374">
            <v>0.23924387095164446</v>
          </cell>
          <cell r="H374">
            <v>0.24853276932837914</v>
          </cell>
          <cell r="I374">
            <v>0.54663616655457103</v>
          </cell>
          <cell r="J374">
            <v>0.68567489642790735</v>
          </cell>
          <cell r="K374"/>
        </row>
        <row r="375">
          <cell r="A375" t="str">
            <v>SCOM-STG-ELCSPEC</v>
          </cell>
          <cell r="B375" t="str">
            <v>VAR_fin</v>
          </cell>
          <cell r="C375" t="str">
            <v>SCOM-ELS</v>
          </cell>
          <cell r="E375">
            <v>0.22628306087602978</v>
          </cell>
          <cell r="F375">
            <v>0.23047087187531981</v>
          </cell>
          <cell r="G375">
            <v>0.23927451089286803</v>
          </cell>
          <cell r="H375">
            <v>0.24856331834989565</v>
          </cell>
          <cell r="I375">
            <v>0.54666780661257031</v>
          </cell>
          <cell r="J375">
            <v>0.68569071645690749</v>
          </cell>
          <cell r="K375"/>
        </row>
        <row r="376">
          <cell r="A376" t="str">
            <v>SCOM-STG-ELCSPEC</v>
          </cell>
          <cell r="B376" t="str">
            <v>VAR_ncap</v>
          </cell>
          <cell r="C376" t="str">
            <v>-</v>
          </cell>
          <cell r="E376">
            <v>8.5905238700216199E-3</v>
          </cell>
          <cell r="F376">
            <v>1.34934624371106E-4</v>
          </cell>
          <cell r="G376">
            <v>5.9639737282127002E-5</v>
          </cell>
          <cell r="H376">
            <v>5.9011249591610197E-4</v>
          </cell>
          <cell r="I376">
            <v>1.52243942194431E-2</v>
          </cell>
          <cell r="J376">
            <v>1.0798745774788499E-2</v>
          </cell>
          <cell r="K376"/>
        </row>
        <row r="377">
          <cell r="A377" t="str">
            <v>SCOM-STG-ELCSPEC</v>
          </cell>
          <cell r="B377" t="str">
            <v>VAR_cap</v>
          </cell>
          <cell r="C377" t="str">
            <v>-</v>
          </cell>
          <cell r="D377"/>
          <cell r="E377">
            <v>8.5905238700216199E-3</v>
          </cell>
          <cell r="F377">
            <v>8.7171040219034233E-3</v>
          </cell>
          <cell r="G377">
            <v>8.7614818531841238E-3</v>
          </cell>
          <cell r="H377">
            <v>9.3249022542115905E-3</v>
          </cell>
          <cell r="I377">
            <v>2.0399628289615959E-2</v>
          </cell>
          <cell r="J377">
            <v>2.6487977215988629E-2</v>
          </cell>
          <cell r="K377"/>
        </row>
        <row r="378">
          <cell r="A378" t="str">
            <v>RHNS-SHCONBR3</v>
          </cell>
          <cell r="B378" t="str">
            <v>VAR_ncap</v>
          </cell>
          <cell r="C378" t="str">
            <v>-</v>
          </cell>
          <cell r="F378">
            <v>375</v>
          </cell>
          <cell r="G378">
            <v>4.7310676183725198</v>
          </cell>
          <cell r="H378">
            <v>4.3003918622550996</v>
          </cell>
          <cell r="I378"/>
          <cell r="J378"/>
          <cell r="K378"/>
        </row>
        <row r="379">
          <cell r="A379" t="str">
            <v>RHNS-SHCONBR3</v>
          </cell>
          <cell r="B379" t="str">
            <v>VAR_cap</v>
          </cell>
          <cell r="C379" t="str">
            <v>-</v>
          </cell>
          <cell r="D379"/>
          <cell r="F379">
            <v>375</v>
          </cell>
          <cell r="G379">
            <v>11.848368678838995</v>
          </cell>
          <cell r="H379">
            <v>10.947118884982956</v>
          </cell>
          <cell r="I379">
            <v>6.3311927241859962</v>
          </cell>
          <cell r="J379">
            <v>2.8355470014540174</v>
          </cell>
          <cell r="K379"/>
        </row>
        <row r="380">
          <cell r="A380" t="str">
            <v>SCOM-SHCONBR7</v>
          </cell>
          <cell r="B380" t="str">
            <v>VAR_fout</v>
          </cell>
          <cell r="C380" t="str">
            <v>SCOM-SHCON</v>
          </cell>
          <cell r="E380">
            <v>9.6805820668917474E-3</v>
          </cell>
          <cell r="F380">
            <v>5.1192807526250061E-3</v>
          </cell>
          <cell r="G380">
            <v>5.3764232518322295E-3</v>
          </cell>
          <cell r="H380">
            <v>5.5967431241257387E-3</v>
          </cell>
          <cell r="I380">
            <v>8.696096095308286E-3</v>
          </cell>
          <cell r="J380">
            <v>5.4949644068946627E-3</v>
          </cell>
          <cell r="K380"/>
        </row>
        <row r="381">
          <cell r="A381" t="str">
            <v>SCOM-SHCONBR7</v>
          </cell>
          <cell r="B381" t="str">
            <v>VAR_fin</v>
          </cell>
          <cell r="C381" t="str">
            <v>CON</v>
          </cell>
          <cell r="E381">
            <v>9.6805820668917474E-3</v>
          </cell>
          <cell r="F381">
            <v>5.1192807526250061E-3</v>
          </cell>
          <cell r="G381">
            <v>5.3764232518322295E-3</v>
          </cell>
          <cell r="H381">
            <v>5.5967431241257387E-3</v>
          </cell>
          <cell r="I381">
            <v>8.696096095308286E-3</v>
          </cell>
          <cell r="J381">
            <v>5.4949644068946627E-3</v>
          </cell>
          <cell r="K381"/>
        </row>
        <row r="382">
          <cell r="A382" t="str">
            <v>SCOM-SHCONBR7</v>
          </cell>
          <cell r="B382" t="str">
            <v>VAR_ncap</v>
          </cell>
          <cell r="C382" t="str">
            <v>-</v>
          </cell>
          <cell r="D382"/>
          <cell r="E382">
            <v>8.86330791810184E-4</v>
          </cell>
          <cell r="F382">
            <v>4.2589276710133104E-6</v>
          </cell>
          <cell r="G382">
            <v>8.7407712894278293E-6</v>
          </cell>
          <cell r="H382">
            <v>2.4897070925110899E-6</v>
          </cell>
          <cell r="I382"/>
          <cell r="J382">
            <v>5.4896996690481501E-6</v>
          </cell>
          <cell r="K382"/>
        </row>
        <row r="383">
          <cell r="A383" t="str">
            <v>SCOM-SHCONBR7</v>
          </cell>
          <cell r="B383" t="str">
            <v>VAR_cap</v>
          </cell>
          <cell r="C383" t="str">
            <v>-</v>
          </cell>
          <cell r="E383">
            <v>8.86330791810184E-4</v>
          </cell>
          <cell r="F383">
            <v>8.8902556642092025E-4</v>
          </cell>
          <cell r="G383">
            <v>8.9524303347788094E-4</v>
          </cell>
          <cell r="H383">
            <v>8.9516312078073799E-4</v>
          </cell>
          <cell r="I383">
            <v>8.9607330537789717E-4</v>
          </cell>
          <cell r="J383">
            <v>5.2903909573543502E-4</v>
          </cell>
          <cell r="K383"/>
        </row>
        <row r="384">
          <cell r="A384" t="str">
            <v>RHNS-SHCONBR4</v>
          </cell>
          <cell r="B384" t="str">
            <v>VAR_ncap</v>
          </cell>
          <cell r="C384" t="str">
            <v>-</v>
          </cell>
          <cell r="F384">
            <v>375</v>
          </cell>
          <cell r="G384">
            <v>4.73106761837278</v>
          </cell>
          <cell r="H384">
            <v>4.3003918622553901</v>
          </cell>
          <cell r="I384"/>
          <cell r="J384"/>
          <cell r="K384"/>
        </row>
        <row r="385">
          <cell r="A385" t="str">
            <v>RHNS-SHCONBR4</v>
          </cell>
          <cell r="B385" t="str">
            <v>VAR_cap</v>
          </cell>
          <cell r="C385" t="str">
            <v>-</v>
          </cell>
          <cell r="D385"/>
          <cell r="F385">
            <v>375</v>
          </cell>
          <cell r="G385">
            <v>11.848368678838028</v>
          </cell>
          <cell r="H385">
            <v>10.947118884980966</v>
          </cell>
          <cell r="I385">
            <v>6.3311927241839498</v>
          </cell>
          <cell r="J385">
            <v>2.8355470014540174</v>
          </cell>
          <cell r="K385"/>
        </row>
        <row r="386">
          <cell r="A386" t="str">
            <v>SCOM-SHCONBR8</v>
          </cell>
          <cell r="B386" t="str">
            <v>VAR_fout</v>
          </cell>
          <cell r="C386" t="str">
            <v>SCOM-SHCON</v>
          </cell>
          <cell r="D386"/>
          <cell r="E386">
            <v>3.4235949234980639E-3</v>
          </cell>
          <cell r="F386">
            <v>2.1041424507701472E-3</v>
          </cell>
          <cell r="G386">
            <v>2.1302830240448596E-3</v>
          </cell>
          <cell r="H386">
            <v>2.150083401396673E-3</v>
          </cell>
          <cell r="I386">
            <v>2.8953361915438174E-3</v>
          </cell>
          <cell r="J386">
            <v>1.8672803117799168E-3</v>
          </cell>
        </row>
        <row r="387">
          <cell r="A387" t="str">
            <v>SCOM-SHCONBR8</v>
          </cell>
          <cell r="B387" t="str">
            <v>VAR_fin</v>
          </cell>
          <cell r="C387" t="str">
            <v>CON</v>
          </cell>
          <cell r="E387">
            <v>3.4235949234980639E-3</v>
          </cell>
          <cell r="F387">
            <v>2.1041424507701472E-3</v>
          </cell>
          <cell r="G387">
            <v>2.1302830240448596E-3</v>
          </cell>
          <cell r="H387">
            <v>2.150083401396673E-3</v>
          </cell>
          <cell r="I387">
            <v>2.8953361915438174E-3</v>
          </cell>
          <cell r="J387">
            <v>1.8672803117799168E-3</v>
          </cell>
        </row>
        <row r="388">
          <cell r="A388" t="str">
            <v>SCOM-SHCONBR8</v>
          </cell>
          <cell r="B388" t="str">
            <v>VAR_ncap</v>
          </cell>
          <cell r="C388" t="str">
            <v>-</v>
          </cell>
          <cell r="E388">
            <v>3.3677123631483801E-4</v>
          </cell>
          <cell r="F388">
            <v>2.7271545077337302E-6</v>
          </cell>
          <cell r="G388">
            <v>2.5557033082443301E-6</v>
          </cell>
          <cell r="H388">
            <v>1.02138221754703E-6</v>
          </cell>
          <cell r="I388"/>
          <cell r="J388">
            <v>1.1383899427918999E-6</v>
          </cell>
        </row>
        <row r="389">
          <cell r="A389" t="str">
            <v>SCOM-SHCONBR8</v>
          </cell>
          <cell r="B389" t="str">
            <v>VAR_cap</v>
          </cell>
          <cell r="C389" t="str">
            <v>-</v>
          </cell>
          <cell r="D389"/>
          <cell r="E389">
            <v>3.3677123631483801E-4</v>
          </cell>
          <cell r="F389">
            <v>3.3869378609182037E-4</v>
          </cell>
          <cell r="G389">
            <v>3.4016321540412443E-4</v>
          </cell>
          <cell r="H389">
            <v>3.3989341959968515E-4</v>
          </cell>
          <cell r="I389">
            <v>3.396092451211386E-4</v>
          </cell>
          <cell r="J389">
            <v>1.9944067096055009E-4</v>
          </cell>
          <cell r="K389"/>
        </row>
        <row r="390">
          <cell r="A390" t="str">
            <v>ITOT-ELCSPEC</v>
          </cell>
          <cell r="B390" t="str">
            <v>VAR_fout</v>
          </cell>
          <cell r="C390" t="str">
            <v>ITOT-ELS</v>
          </cell>
          <cell r="D390">
            <v>48.063397652170998</v>
          </cell>
          <cell r="E390">
            <v>48.833361569867286</v>
          </cell>
          <cell r="F390">
            <v>51.606348679527969</v>
          </cell>
          <cell r="G390">
            <v>52.871860088914175</v>
          </cell>
          <cell r="H390">
            <v>54.118790460389583</v>
          </cell>
          <cell r="I390">
            <v>50.876777768367283</v>
          </cell>
          <cell r="J390">
            <v>52.053393206381124</v>
          </cell>
          <cell r="K390"/>
        </row>
        <row r="391">
          <cell r="A391" t="str">
            <v>ITOT-ELCSPEC</v>
          </cell>
          <cell r="B391" t="str">
            <v>VAR_fin</v>
          </cell>
          <cell r="C391" t="str">
            <v>ITOT_ELC</v>
          </cell>
          <cell r="D391">
            <v>48.063397652170998</v>
          </cell>
          <cell r="E391">
            <v>48.833361569867286</v>
          </cell>
          <cell r="F391">
            <v>51.606348679527969</v>
          </cell>
          <cell r="G391">
            <v>52.871860088914175</v>
          </cell>
          <cell r="H391">
            <v>54.118790460389583</v>
          </cell>
          <cell r="I391">
            <v>50.876777768367283</v>
          </cell>
          <cell r="J391">
            <v>52.053393206381124</v>
          </cell>
          <cell r="K391"/>
        </row>
        <row r="392">
          <cell r="A392" t="str">
            <v>ITOT-ELCSPEC</v>
          </cell>
          <cell r="B392" t="str">
            <v>VAR_ncap</v>
          </cell>
          <cell r="C392" t="str">
            <v>-</v>
          </cell>
          <cell r="D392">
            <v>8.35608606090332E-2</v>
          </cell>
          <cell r="E392">
            <v>4.1901760742362397E-2</v>
          </cell>
          <cell r="F392">
            <v>0.15081071636267401</v>
          </cell>
          <cell r="G392">
            <v>6.8854571344486207E-2</v>
          </cell>
          <cell r="H392">
            <v>6.7898106662188401E-2</v>
          </cell>
          <cell r="I392">
            <v>7.3527231378380298E-5</v>
          </cell>
          <cell r="J392">
            <v>2.43044706312123</v>
          </cell>
          <cell r="K392"/>
        </row>
        <row r="393">
          <cell r="A393" t="str">
            <v>ITOT-ELCSPEC</v>
          </cell>
          <cell r="B393" t="str">
            <v>VAR_cap</v>
          </cell>
          <cell r="C393" t="str">
            <v>-</v>
          </cell>
          <cell r="D393">
            <v>2.6138880926417434</v>
          </cell>
          <cell r="E393">
            <v>2.655780716953176</v>
          </cell>
          <cell r="F393">
            <v>2.8065699957024881</v>
          </cell>
          <cell r="G393">
            <v>2.8753554708479991</v>
          </cell>
          <cell r="H393">
            <v>2.9431769336207396</v>
          </cell>
          <cell r="I393">
            <v>2.7669833896475251</v>
          </cell>
          <cell r="J393">
            <v>2.8308316467000192</v>
          </cell>
          <cell r="K393"/>
        </row>
        <row r="394">
          <cell r="A394" t="str">
            <v>RHNM-SHLTHDH</v>
          </cell>
          <cell r="B394" t="str">
            <v>VAR_fout</v>
          </cell>
          <cell r="C394" t="str">
            <v>RHNM-SHLTHD</v>
          </cell>
          <cell r="E394">
            <v>0.34687936915827844</v>
          </cell>
          <cell r="F394">
            <v>5.321807342758398E-2</v>
          </cell>
          <cell r="G394">
            <v>0.2340016431780729</v>
          </cell>
          <cell r="H394">
            <v>0.27124791734521675</v>
          </cell>
          <cell r="I394">
            <v>0.31462200954781405</v>
          </cell>
          <cell r="J394">
            <v>0.38704888143869137</v>
          </cell>
          <cell r="K394"/>
        </row>
        <row r="395">
          <cell r="A395" t="str">
            <v>RHNM-SHLTHDH</v>
          </cell>
          <cell r="B395" t="str">
            <v>VAR_fin</v>
          </cell>
          <cell r="C395" t="str">
            <v>RHNMLTHDHC</v>
          </cell>
          <cell r="E395">
            <v>0.34687936915827844</v>
          </cell>
          <cell r="F395">
            <v>5.321807342758398E-2</v>
          </cell>
          <cell r="G395">
            <v>0.2340016431780729</v>
          </cell>
          <cell r="H395">
            <v>0.27124791734521675</v>
          </cell>
          <cell r="I395">
            <v>0.31462200954781405</v>
          </cell>
          <cell r="J395">
            <v>0.38704888143869137</v>
          </cell>
          <cell r="K395"/>
        </row>
        <row r="396">
          <cell r="A396" t="str">
            <v>RHNM-SHLTHDH</v>
          </cell>
          <cell r="B396" t="str">
            <v>VAR_fin</v>
          </cell>
          <cell r="C396" t="str">
            <v>RHNM_LTH_DH</v>
          </cell>
          <cell r="D396"/>
          <cell r="E396">
            <v>0.35038320116997812</v>
          </cell>
          <cell r="F396">
            <v>5.8877796156853054E-2</v>
          </cell>
          <cell r="G396">
            <v>0.2576850732650941</v>
          </cell>
          <cell r="H396">
            <v>0.29846840245504824</v>
          </cell>
          <cell r="I396">
            <v>0.3458342880857227</v>
          </cell>
          <cell r="J396">
            <v>0.42544631432208502</v>
          </cell>
          <cell r="K396"/>
        </row>
        <row r="397">
          <cell r="A397" t="str">
            <v>RHNM-SHLTHDH</v>
          </cell>
          <cell r="B397" t="str">
            <v>VAR_ncap</v>
          </cell>
          <cell r="C397" t="str">
            <v>-</v>
          </cell>
          <cell r="E397">
            <v>4.8382809184743497E-2</v>
          </cell>
          <cell r="F397">
            <v>4.3096698378390599E-2</v>
          </cell>
          <cell r="G397">
            <v>1.8186158443812502E-2</v>
          </cell>
          <cell r="H397">
            <v>1.9142881310907401E-2</v>
          </cell>
          <cell r="I397">
            <v>1.43386790841721E-2</v>
          </cell>
          <cell r="J397">
            <v>2.4674058930402198E-2</v>
          </cell>
        </row>
        <row r="398">
          <cell r="A398" t="str">
            <v>RHNM-SHLTHDH</v>
          </cell>
          <cell r="B398" t="str">
            <v>VAR_cap</v>
          </cell>
          <cell r="C398" t="str">
            <v>-</v>
          </cell>
          <cell r="E398">
            <v>4.8382809184743497E-2</v>
          </cell>
          <cell r="F398">
            <v>5.9885466931002593E-2</v>
          </cell>
          <cell r="G398">
            <v>3.5063217545660691E-2</v>
          </cell>
          <cell r="H398">
            <v>3.6840502139145886E-2</v>
          </cell>
          <cell r="I398">
            <v>3.1327621956103016E-2</v>
          </cell>
          <cell r="J398">
            <v>3.9575530192074992E-2</v>
          </cell>
        </row>
        <row r="399">
          <cell r="A399" t="str">
            <v>RHNS-SHCONBR5</v>
          </cell>
          <cell r="B399" t="str">
            <v>VAR_ncap</v>
          </cell>
          <cell r="C399" t="str">
            <v>-</v>
          </cell>
          <cell r="D399"/>
          <cell r="F399">
            <v>375</v>
          </cell>
          <cell r="G399">
            <v>4.7310676183725198</v>
          </cell>
          <cell r="H399">
            <v>4.3003918622550996</v>
          </cell>
          <cell r="I399"/>
          <cell r="J399"/>
        </row>
        <row r="400">
          <cell r="A400" t="str">
            <v>RHNS-SHCONBR5</v>
          </cell>
          <cell r="B400" t="str">
            <v>VAR_cap</v>
          </cell>
          <cell r="C400" t="str">
            <v>-</v>
          </cell>
          <cell r="F400">
            <v>375</v>
          </cell>
          <cell r="G400">
            <v>11.848368678838995</v>
          </cell>
          <cell r="H400">
            <v>10.947118884982956</v>
          </cell>
          <cell r="I400">
            <v>6.3311927241859962</v>
          </cell>
          <cell r="J400">
            <v>2.8355470014540174</v>
          </cell>
        </row>
        <row r="401">
          <cell r="A401" t="str">
            <v>SCOM-SHCONBR9</v>
          </cell>
          <cell r="B401" t="str">
            <v>VAR_fout</v>
          </cell>
          <cell r="C401" t="str">
            <v>SCOM-SHCON</v>
          </cell>
          <cell r="E401">
            <v>1.2069867257982765E-3</v>
          </cell>
          <cell r="F401">
            <v>9.0463278355105211E-4</v>
          </cell>
          <cell r="G401">
            <v>8.6481944725124338E-4</v>
          </cell>
          <cell r="H401">
            <v>8.3869822076249154E-4</v>
          </cell>
          <cell r="I401">
            <v>9.5667322955571093E-4</v>
          </cell>
          <cell r="J401">
            <v>6.4381537826484485E-4</v>
          </cell>
          <cell r="K401"/>
        </row>
        <row r="402">
          <cell r="A402" t="str">
            <v>SCOM-SHCONBR9</v>
          </cell>
          <cell r="B402" t="str">
            <v>VAR_fin</v>
          </cell>
          <cell r="C402" t="str">
            <v>CON</v>
          </cell>
          <cell r="E402">
            <v>1.2069867257982765E-3</v>
          </cell>
          <cell r="F402">
            <v>9.0463278355105211E-4</v>
          </cell>
          <cell r="G402">
            <v>8.6481944725124338E-4</v>
          </cell>
          <cell r="H402">
            <v>8.3869822076249154E-4</v>
          </cell>
          <cell r="I402">
            <v>9.5667322955571093E-4</v>
          </cell>
          <cell r="J402">
            <v>6.4381537826484485E-4</v>
          </cell>
          <cell r="K402"/>
        </row>
        <row r="403">
          <cell r="A403" t="str">
            <v>SCOM-SHCONBR9</v>
          </cell>
          <cell r="B403" t="str">
            <v>VAR_ncap</v>
          </cell>
          <cell r="C403" t="str">
            <v>-</v>
          </cell>
          <cell r="E403">
            <v>1.13668210332729E-4</v>
          </cell>
          <cell r="F403">
            <v>1.76672814776608E-6</v>
          </cell>
          <cell r="G403">
            <v>1.2204642522365599E-6</v>
          </cell>
          <cell r="H403">
            <v>4.50896849417654E-7</v>
          </cell>
          <cell r="I403"/>
          <cell r="J403">
            <v>4.3803153209280698E-7</v>
          </cell>
          <cell r="K403"/>
        </row>
        <row r="404">
          <cell r="A404" t="str">
            <v>SCOM-SHCONBR9</v>
          </cell>
          <cell r="B404" t="str">
            <v>VAR_cap</v>
          </cell>
          <cell r="C404" t="str">
            <v>-</v>
          </cell>
          <cell r="E404">
            <v>1.13668210332729E-4</v>
          </cell>
          <cell r="F404">
            <v>1.1503581228330683E-4</v>
          </cell>
          <cell r="G404">
            <v>1.1581755626191148E-4</v>
          </cell>
          <cell r="H404">
            <v>1.1572189098294126E-4</v>
          </cell>
          <cell r="I404">
            <v>1.1537254365450789E-4</v>
          </cell>
          <cell r="J404">
            <v>6.816536040451169E-5</v>
          </cell>
          <cell r="K404"/>
        </row>
        <row r="405">
          <cell r="A405" t="str">
            <v>ITOT-SWHCOABR</v>
          </cell>
          <cell r="B405" t="str">
            <v>VAR_fout</v>
          </cell>
          <cell r="C405" t="str">
            <v>ITOT-SWH</v>
          </cell>
          <cell r="D405">
            <v>2.3675046449638706</v>
          </cell>
          <cell r="E405">
            <v>2.307526236939708</v>
          </cell>
          <cell r="F405">
            <v>8.6100965844087857E-2</v>
          </cell>
          <cell r="G405">
            <v>2.9365655056350394E-3</v>
          </cell>
          <cell r="H405">
            <v>2.6070217906024047E-2</v>
          </cell>
          <cell r="I405">
            <v>4.0795017065666109E-3</v>
          </cell>
          <cell r="J405">
            <v>2.3836737607569662E-5</v>
          </cell>
          <cell r="K405"/>
        </row>
        <row r="406">
          <cell r="A406" t="str">
            <v>ITOT-SWHCOABR</v>
          </cell>
          <cell r="B406" t="str">
            <v>VAR_fout</v>
          </cell>
          <cell r="C406" t="str">
            <v>CO2_I</v>
          </cell>
          <cell r="D406">
            <v>330.02658735060299</v>
          </cell>
          <cell r="E406">
            <v>321.18270595241898</v>
          </cell>
          <cell r="F406">
            <v>11.9573925599205</v>
          </cell>
          <cell r="G406">
            <v>0.40629794383935502</v>
          </cell>
          <cell r="H406">
            <v>3.5936196280868802</v>
          </cell>
          <cell r="I406">
            <v>0.56025156770181495</v>
          </cell>
          <cell r="J406">
            <v>3.24950820032604E-3</v>
          </cell>
          <cell r="K406"/>
        </row>
        <row r="407">
          <cell r="A407" t="str">
            <v>ITOT-SWHCOABR</v>
          </cell>
          <cell r="B407" t="str">
            <v>VAR_fin</v>
          </cell>
          <cell r="C407" t="str">
            <v>ICOA</v>
          </cell>
          <cell r="D407">
            <v>3.5601573608479287</v>
          </cell>
          <cell r="E407">
            <v>3.4647541095190793</v>
          </cell>
          <cell r="F407">
            <v>0.12899021100237884</v>
          </cell>
          <cell r="G407">
            <v>4.382933590500058E-3</v>
          </cell>
          <cell r="H407">
            <v>3.876612328033311E-2</v>
          </cell>
          <cell r="I407">
            <v>6.0437062319505354E-3</v>
          </cell>
          <cell r="J407">
            <v>3.5054025893484758E-5</v>
          </cell>
          <cell r="K407"/>
        </row>
        <row r="408">
          <cell r="A408" t="str">
            <v>ITOT-SWHCOABR</v>
          </cell>
          <cell r="B408" t="str">
            <v>VAR_ncap</v>
          </cell>
          <cell r="C408" t="str">
            <v>-</v>
          </cell>
          <cell r="E408">
            <v>1.34953670203996E-4</v>
          </cell>
          <cell r="F408">
            <v>1.54695638079946E-4</v>
          </cell>
          <cell r="G408">
            <v>1.7682412791727E-4</v>
          </cell>
          <cell r="H408">
            <v>2.2606975410579002E-3</v>
          </cell>
          <cell r="I408">
            <v>9.3792331652715801E-5</v>
          </cell>
          <cell r="J408">
            <v>9.9625660332793507E-6</v>
          </cell>
          <cell r="K408"/>
        </row>
        <row r="409">
          <cell r="A409" t="str">
            <v>ITOT-SWHCOABR</v>
          </cell>
          <cell r="B409" t="str">
            <v>VAR_cap</v>
          </cell>
          <cell r="C409" t="str">
            <v>-</v>
          </cell>
          <cell r="D409">
            <v>0.26172155007150499</v>
          </cell>
          <cell r="E409">
            <v>0.19891397974106109</v>
          </cell>
          <cell r="F409">
            <v>8.1722366375689415E-3</v>
          </cell>
          <cell r="G409">
            <v>2.8005988363022372E-4</v>
          </cell>
          <cell r="H409">
            <v>2.4215894081341116E-3</v>
          </cell>
          <cell r="I409">
            <v>3.8660272659986989E-4</v>
          </cell>
          <cell r="J409">
            <v>3.4319143262298828E-6</v>
          </cell>
          <cell r="K409"/>
        </row>
        <row r="410">
          <cell r="A410" t="str">
            <v>RHSA-WHDEM</v>
          </cell>
          <cell r="B410" t="str">
            <v>VAR_fout</v>
          </cell>
          <cell r="C410" t="str">
            <v>RHSA-WHD</v>
          </cell>
          <cell r="D410">
            <v>26.438654975424289</v>
          </cell>
          <cell r="E410">
            <v>25.92879146371218</v>
          </cell>
          <cell r="F410">
            <v>21.669378717171998</v>
          </cell>
          <cell r="G410">
            <v>22.092504130319799</v>
          </cell>
          <cell r="H410">
            <v>24.08147661452708</v>
          </cell>
          <cell r="I410">
            <v>26.685313554324502</v>
          </cell>
          <cell r="J410">
            <v>28.406752197009908</v>
          </cell>
        </row>
        <row r="411">
          <cell r="A411" t="str">
            <v>RHSA-WHDEM</v>
          </cell>
          <cell r="B411" t="str">
            <v>VAR_fin</v>
          </cell>
          <cell r="C411" t="str">
            <v>RHSA-WHNGA</v>
          </cell>
          <cell r="D411">
            <v>6.2141189557478809</v>
          </cell>
          <cell r="E411">
            <v>5.234427514074067</v>
          </cell>
          <cell r="F411">
            <v>5.2099595033103574</v>
          </cell>
          <cell r="G411">
            <v>3.4410111150976266</v>
          </cell>
          <cell r="H411">
            <v>2.3787463026388709</v>
          </cell>
          <cell r="I411">
            <v>1.4266726654080431</v>
          </cell>
          <cell r="J411">
            <v>0.63696238316615639</v>
          </cell>
          <cell r="K411"/>
        </row>
        <row r="412">
          <cell r="A412" t="str">
            <v>RHSA-WHDEM</v>
          </cell>
          <cell r="B412" t="str">
            <v>VAR_fin</v>
          </cell>
          <cell r="C412" t="str">
            <v>RHSA-WHLFO</v>
          </cell>
          <cell r="D412">
            <v>6.8073103847657119</v>
          </cell>
          <cell r="E412">
            <v>5.8533369348427566</v>
          </cell>
          <cell r="F412">
            <v>4.4838849417620761</v>
          </cell>
          <cell r="G412">
            <v>2.1233569891164636</v>
          </cell>
          <cell r="H412">
            <v>1.4576344151561547</v>
          </cell>
          <cell r="I412">
            <v>0.7336582495123265</v>
          </cell>
          <cell r="J412">
            <v>5.8377590972275684E-2</v>
          </cell>
          <cell r="K412"/>
        </row>
        <row r="413">
          <cell r="A413" t="str">
            <v>RHSA-WHDEM</v>
          </cell>
          <cell r="B413" t="str">
            <v>VAR_fin</v>
          </cell>
          <cell r="C413" t="str">
            <v>RHSA-WHWOD</v>
          </cell>
          <cell r="D413">
            <v>0.55631906756896887</v>
          </cell>
          <cell r="E413">
            <v>0.59639889242282418</v>
          </cell>
          <cell r="F413">
            <v>1.1874696275191177</v>
          </cell>
          <cell r="G413">
            <v>1.1596273046845882</v>
          </cell>
          <cell r="H413">
            <v>1.0750336478890454</v>
          </cell>
          <cell r="I413">
            <v>1.0025189772163225</v>
          </cell>
          <cell r="J413">
            <v>0.73458718736231066</v>
          </cell>
          <cell r="K413"/>
        </row>
        <row r="414">
          <cell r="A414" t="str">
            <v>RHSA-WHDEM</v>
          </cell>
          <cell r="B414" t="str">
            <v>VAR_fin</v>
          </cell>
          <cell r="C414" t="str">
            <v>RHSA-WHNGAH</v>
          </cell>
          <cell r="D414">
            <v>7.2128729389433127E-2</v>
          </cell>
          <cell r="E414">
            <v>1.0165150043234545E-3</v>
          </cell>
          <cell r="F414">
            <v>1.0926644785054909</v>
          </cell>
          <cell r="G414">
            <v>3.269919057941006</v>
          </cell>
          <cell r="H414">
            <v>4.5700176085521633</v>
          </cell>
          <cell r="I414">
            <v>5.9662844720483754</v>
          </cell>
          <cell r="J414">
            <v>6.6461530894050282</v>
          </cell>
        </row>
        <row r="415">
          <cell r="A415" t="str">
            <v>RHSA-WHDEM</v>
          </cell>
          <cell r="B415" t="str">
            <v>VAR_fin</v>
          </cell>
          <cell r="C415" t="str">
            <v>RHSA-WHNST</v>
          </cell>
          <cell r="D415">
            <v>2.5876170716456804E-2</v>
          </cell>
          <cell r="E415">
            <v>8.3374416397929507E-4</v>
          </cell>
          <cell r="F415">
            <v>9.9858092657333037E-5</v>
          </cell>
          <cell r="G415">
            <v>1.015975230837615E-4</v>
          </cell>
          <cell r="H415">
            <v>1.0900115390146497E-4</v>
          </cell>
          <cell r="I415">
            <v>1.1280270488939267E-4</v>
          </cell>
          <cell r="J415">
            <v>1.4070231269280037E-4</v>
          </cell>
        </row>
        <row r="416">
          <cell r="A416" t="str">
            <v>RHSA-WHDEM</v>
          </cell>
          <cell r="B416" t="str">
            <v>VAR_fin</v>
          </cell>
          <cell r="C416" t="str">
            <v>RHSA-WHPLT</v>
          </cell>
          <cell r="D416">
            <v>0.27002127484515764</v>
          </cell>
          <cell r="E416">
            <v>0.19438568313270321</v>
          </cell>
          <cell r="F416">
            <v>7.5412175777936102E-2</v>
          </cell>
          <cell r="G416">
            <v>0.10265907083754748</v>
          </cell>
          <cell r="H416">
            <v>0.11518950163641928</v>
          </cell>
          <cell r="I416">
            <v>0.13356185925187822</v>
          </cell>
          <cell r="J416">
            <v>0.1339551406786004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RHSA-WHLTHRD</v>
          </cell>
          <cell r="D417">
            <v>1.2756732442022332</v>
          </cell>
          <cell r="E417">
            <v>1.462363312970556</v>
          </cell>
          <cell r="F417">
            <v>0.95843876901028069</v>
          </cell>
          <cell r="G417">
            <v>1.4687673713999632</v>
          </cell>
          <cell r="H417">
            <v>1.691504571414981</v>
          </cell>
          <cell r="I417">
            <v>1.968016661271677</v>
          </cell>
          <cell r="J417">
            <v>2.1741278984645525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RHSA-WHELCB</v>
          </cell>
          <cell r="D418">
            <v>6.4723492587844653</v>
          </cell>
          <cell r="E418">
            <v>6.9676268868981461</v>
          </cell>
          <cell r="F418">
            <v>2.8224641674650459</v>
          </cell>
          <cell r="G418">
            <v>2.0095463626319026</v>
          </cell>
          <cell r="H418">
            <v>1.8601656617802675</v>
          </cell>
          <cell r="I418">
            <v>1.7216661835773075</v>
          </cell>
          <cell r="J418">
            <v>1.5552221046434098</v>
          </cell>
        </row>
        <row r="419">
          <cell r="A419" t="str">
            <v>RHSA-WHDEM</v>
          </cell>
          <cell r="B419" t="str">
            <v>VAR_fin</v>
          </cell>
          <cell r="C419" t="str">
            <v>RHSA-WHSOL</v>
          </cell>
          <cell r="D419">
            <v>1.6230417152948877</v>
          </cell>
          <cell r="E419">
            <v>1.9857357145221348</v>
          </cell>
          <cell r="F419">
            <v>0.93236758407444975</v>
          </cell>
          <cell r="G419">
            <v>1.0601286766748554</v>
          </cell>
          <cell r="H419">
            <v>1.1235728465051742</v>
          </cell>
          <cell r="I419">
            <v>1.2092592351113034</v>
          </cell>
          <cell r="J419">
            <v>1.2001718554086085</v>
          </cell>
        </row>
        <row r="420">
          <cell r="A420" t="str">
            <v>RHSA-WHDEM</v>
          </cell>
          <cell r="B420" t="str">
            <v>VAR_fin</v>
          </cell>
          <cell r="C420" t="str">
            <v>RHSA-WHELCH</v>
          </cell>
          <cell r="D420">
            <v>3.1235494429645434</v>
          </cell>
          <cell r="E420">
            <v>3.6343997734651601</v>
          </cell>
          <cell r="F420">
            <v>4.9090819278275069</v>
          </cell>
          <cell r="G420">
            <v>7.4598768871823147</v>
          </cell>
          <cell r="H420">
            <v>9.811866595632095</v>
          </cell>
          <cell r="I420">
            <v>12.525499988990321</v>
          </cell>
          <cell r="J420">
            <v>15.268982241950912</v>
          </cell>
          <cell r="K420"/>
        </row>
        <row r="421">
          <cell r="A421" t="str">
            <v>RHSA-WHNGAHP</v>
          </cell>
          <cell r="B421" t="str">
            <v>VAR_fout</v>
          </cell>
          <cell r="C421" t="str">
            <v>RHSA-WHANGAH</v>
          </cell>
          <cell r="F421">
            <v>1.0926357132304529</v>
          </cell>
          <cell r="G421">
            <v>3.2698639557431823</v>
          </cell>
          <cell r="H421">
            <v>4.5699062234998795</v>
          </cell>
          <cell r="I421">
            <v>5.9661597754892792</v>
          </cell>
          <cell r="J421">
            <v>6.6461113235281655</v>
          </cell>
          <cell r="K421"/>
        </row>
        <row r="422">
          <cell r="A422" t="str">
            <v>RHSA-WHNGAHP</v>
          </cell>
          <cell r="B422" t="str">
            <v>VAR_fout</v>
          </cell>
          <cell r="C422" t="str">
            <v>CO2_R</v>
          </cell>
          <cell r="F422">
            <v>30.4938763336528</v>
          </cell>
          <cell r="G422">
            <v>80.137987802175402</v>
          </cell>
          <cell r="H422">
            <v>105.87849778788301</v>
          </cell>
          <cell r="I422">
            <v>130.88737095673599</v>
          </cell>
          <cell r="J422">
            <v>120.992734954377</v>
          </cell>
        </row>
        <row r="423">
          <cell r="A423" t="str">
            <v>RHSA-WHNGAHP</v>
          </cell>
          <cell r="B423" t="str">
            <v>VAR_fin</v>
          </cell>
          <cell r="C423" t="str">
            <v>RNGA</v>
          </cell>
          <cell r="F423">
            <v>0.54067156619951751</v>
          </cell>
          <cell r="G423">
            <v>1.4208863085492085</v>
          </cell>
          <cell r="H423">
            <v>1.8772783295723885</v>
          </cell>
          <cell r="I423">
            <v>2.3206980666087866</v>
          </cell>
          <cell r="J423">
            <v>2.1452612580563235</v>
          </cell>
        </row>
        <row r="424">
          <cell r="A424" t="str">
            <v>RHSA-WHNGAHP</v>
          </cell>
          <cell r="B424" t="str">
            <v>VAR_ncap</v>
          </cell>
          <cell r="C424" t="str">
            <v>-</v>
          </cell>
          <cell r="E424">
            <v>1.2155642011933501E-5</v>
          </cell>
          <cell r="F424">
            <v>7.3020138815311303E-2</v>
          </cell>
          <cell r="G424">
            <v>0.14386512056468301</v>
          </cell>
          <cell r="H424">
            <v>9.5901906658163505E-2</v>
          </cell>
          <cell r="I424">
            <v>0.20154593591723999</v>
          </cell>
          <cell r="J424">
            <v>0.272481830370287</v>
          </cell>
          <cell r="K424"/>
        </row>
        <row r="425">
          <cell r="A425" t="str">
            <v>RHSA-WHNGAHP</v>
          </cell>
          <cell r="B425" t="str">
            <v>VAR_cap</v>
          </cell>
          <cell r="C425" t="str">
            <v>-</v>
          </cell>
          <cell r="D425">
            <v>4.7729432218241499E-11</v>
          </cell>
          <cell r="E425">
            <v>7.1374375691725684E-6</v>
          </cell>
          <cell r="F425">
            <v>7.302601569350102E-2</v>
          </cell>
          <cell r="G425">
            <v>0.21689064070113293</v>
          </cell>
          <cell r="H425">
            <v>0.31278061166842974</v>
          </cell>
          <cell r="I425">
            <v>0.40862951015237597</v>
          </cell>
          <cell r="J425">
            <v>0.45931283681379509</v>
          </cell>
          <cell r="K425"/>
        </row>
        <row r="426">
          <cell r="A426" t="str">
            <v>SCOM-SHSTG-ELCHP</v>
          </cell>
          <cell r="B426" t="str">
            <v>VAR_fout</v>
          </cell>
          <cell r="C426" t="str">
            <v>SCOM-SHAELCH</v>
          </cell>
          <cell r="D426">
            <v>3.5436336217163248E-4</v>
          </cell>
          <cell r="E426">
            <v>3.6482215342023073E-4</v>
          </cell>
          <cell r="F426">
            <v>3.9190081420832385E-4</v>
          </cell>
          <cell r="G426">
            <v>4.0556666590669497E-4</v>
          </cell>
          <cell r="H426">
            <v>3.5745530068694855E-4</v>
          </cell>
          <cell r="I426">
            <v>3.6530680276368981E-4</v>
          </cell>
          <cell r="J426">
            <v>2.2172891584572194E-4</v>
          </cell>
        </row>
        <row r="427">
          <cell r="A427" t="str">
            <v>SCOM-SHSTG-ELCHP</v>
          </cell>
          <cell r="B427" t="str">
            <v>VAR_fin</v>
          </cell>
          <cell r="C427" t="str">
            <v>SCOM-SHAELCH</v>
          </cell>
          <cell r="D427">
            <v>4.6492173466307736E-4</v>
          </cell>
          <cell r="E427">
            <v>4.6106613107833579E-4</v>
          </cell>
          <cell r="F427">
            <v>4.1284122321184414E-4</v>
          </cell>
          <cell r="G427">
            <v>4.4780446477233444E-4</v>
          </cell>
          <cell r="H427">
            <v>3.59938966048281E-4</v>
          </cell>
          <cell r="I427">
            <v>3.9649502372748912E-4</v>
          </cell>
          <cell r="J427">
            <v>2.4047011796547347E-4</v>
          </cell>
        </row>
        <row r="428">
          <cell r="A428" t="str">
            <v>SCOM-SHSTG-ELCHP</v>
          </cell>
          <cell r="B428" t="str">
            <v>VAR_ncap</v>
          </cell>
          <cell r="C428" t="str">
            <v>-</v>
          </cell>
          <cell r="D428">
            <v>0.103922464914255</v>
          </cell>
          <cell r="E428">
            <v>1.5033560052458901E-3</v>
          </cell>
          <cell r="F428">
            <v>1.2701976762125001E-3</v>
          </cell>
          <cell r="G428">
            <v>4.8014967082521801E-2</v>
          </cell>
          <cell r="H428">
            <v>0.13906245422285399</v>
          </cell>
          <cell r="I428">
            <v>0.11776258960007301</v>
          </cell>
          <cell r="J428">
            <v>0.194354966409403</v>
          </cell>
          <cell r="K428"/>
        </row>
        <row r="429">
          <cell r="A429" t="str">
            <v>SCOM-SHSTG-ELCHP</v>
          </cell>
          <cell r="B429" t="str">
            <v>VAR_cap</v>
          </cell>
          <cell r="C429" t="str">
            <v>-</v>
          </cell>
          <cell r="D429">
            <v>0.103922464914255</v>
          </cell>
          <cell r="E429">
            <v>0.10133381470316592</v>
          </cell>
          <cell r="F429">
            <v>0.10134288656198828</v>
          </cell>
          <cell r="G429">
            <v>0.14886345078857885</v>
          </cell>
          <cell r="H429">
            <v>0.21092857554549899</v>
          </cell>
          <cell r="I429">
            <v>0.28859043233385795</v>
          </cell>
          <cell r="J429">
            <v>0.33754901549553917</v>
          </cell>
          <cell r="K429"/>
        </row>
        <row r="430">
          <cell r="A430" t="str">
            <v>RHEM-SHLFOBR</v>
          </cell>
          <cell r="B430" t="str">
            <v>VAR_fout</v>
          </cell>
          <cell r="C430" t="str">
            <v>CO2_R</v>
          </cell>
          <cell r="D430">
            <v>1928.7243838209699</v>
          </cell>
          <cell r="E430">
            <v>1537.4272806643</v>
          </cell>
          <cell r="F430">
            <v>1741.6949708731299</v>
          </cell>
          <cell r="G430">
            <v>900.20132426777104</v>
          </cell>
          <cell r="H430">
            <v>594.908090495073</v>
          </cell>
          <cell r="I430">
            <v>221.636171198727</v>
          </cell>
          <cell r="J430">
            <v>24.018413228654801</v>
          </cell>
          <cell r="K430"/>
        </row>
        <row r="431">
          <cell r="A431" t="str">
            <v>RHEM-SHLFOBR</v>
          </cell>
          <cell r="B431" t="str">
            <v>VAR_fout</v>
          </cell>
          <cell r="C431" t="str">
            <v>RHEM-SHLFO</v>
          </cell>
          <cell r="D431">
            <v>23.443902223061329</v>
          </cell>
          <cell r="E431">
            <v>18.687633725849473</v>
          </cell>
          <cell r="F431">
            <v>20.242037192146782</v>
          </cell>
          <cell r="G431">
            <v>10.639365002492285</v>
          </cell>
          <cell r="H431">
            <v>7.0311430866436293</v>
          </cell>
          <cell r="I431">
            <v>2.6194897292071735</v>
          </cell>
          <cell r="J431">
            <v>0.28387057231692631</v>
          </cell>
          <cell r="K431"/>
        </row>
        <row r="432">
          <cell r="A432" t="str">
            <v>RHEM-SHLFOBR</v>
          </cell>
          <cell r="B432" t="str">
            <v>VAR_fin</v>
          </cell>
          <cell r="C432" t="str">
            <v>RLFO</v>
          </cell>
          <cell r="D432">
            <v>26.169937365277733</v>
          </cell>
          <cell r="E432">
            <v>20.860614391645907</v>
          </cell>
          <cell r="F432">
            <v>23.632224842240507</v>
          </cell>
          <cell r="G432">
            <v>12.21440060064818</v>
          </cell>
          <cell r="H432">
            <v>8.0720229375179446</v>
          </cell>
          <cell r="I432">
            <v>3.0072750501862577</v>
          </cell>
          <cell r="J432">
            <v>0.3258943450292372</v>
          </cell>
          <cell r="K432"/>
        </row>
        <row r="433">
          <cell r="A433" t="str">
            <v>RHEM-SHLFOBR</v>
          </cell>
          <cell r="B433" t="str">
            <v>VAR_ncap</v>
          </cell>
          <cell r="C433" t="str">
            <v>-</v>
          </cell>
          <cell r="E433">
            <v>6.83385215327914E-6</v>
          </cell>
          <cell r="F433">
            <v>7.7883971849174195E-6</v>
          </cell>
          <cell r="G433">
            <v>7.5665059624373897E-6</v>
          </cell>
          <cell r="H433">
            <v>8.3835855925899996E-2</v>
          </cell>
          <cell r="I433">
            <v>0.103448667031192</v>
          </cell>
          <cell r="J433">
            <v>3.5296621638672299E-6</v>
          </cell>
          <cell r="K433"/>
        </row>
        <row r="434">
          <cell r="A434" t="str">
            <v>RHEM-SHLFOBR</v>
          </cell>
          <cell r="B434" t="str">
            <v>VAR_cap</v>
          </cell>
          <cell r="C434" t="str">
            <v>-</v>
          </cell>
          <cell r="D434">
            <v>1.65587464377338</v>
          </cell>
          <cell r="E434">
            <v>1.6392095137916001</v>
          </cell>
          <cell r="F434">
            <v>1.6385857977702225</v>
          </cell>
          <cell r="G434">
            <v>1.6336409475130818</v>
          </cell>
          <cell r="H434">
            <v>0.50747819180810616</v>
          </cell>
          <cell r="I434">
            <v>0.18728012788096607</v>
          </cell>
          <cell r="J434">
            <v>3.1241839813963404E-2</v>
          </cell>
          <cell r="K434"/>
        </row>
        <row r="435">
          <cell r="A435" t="str">
            <v>RHES-SHNGAHP</v>
          </cell>
          <cell r="B435" t="str">
            <v>VAR_fout</v>
          </cell>
          <cell r="C435" t="str">
            <v>RHES-SHANGAH</v>
          </cell>
          <cell r="F435">
            <v>2.2604374736608484</v>
          </cell>
          <cell r="G435">
            <v>5.4980173834431394</v>
          </cell>
          <cell r="H435">
            <v>6.5772807512249694</v>
          </cell>
          <cell r="I435">
            <v>7.665931605124479</v>
          </cell>
          <cell r="J435">
            <v>7.0922339913544992</v>
          </cell>
          <cell r="K435"/>
        </row>
        <row r="436">
          <cell r="A436" t="str">
            <v>RHES-SHNGAHP</v>
          </cell>
          <cell r="B436" t="str">
            <v>VAR_fout</v>
          </cell>
          <cell r="C436" t="str">
            <v>CO2_R</v>
          </cell>
          <cell r="F436">
            <v>70.247804467185105</v>
          </cell>
          <cell r="G436">
            <v>163.46964728901401</v>
          </cell>
          <cell r="H436">
            <v>192.30692832864</v>
          </cell>
          <cell r="I436">
            <v>219.95004418458601</v>
          </cell>
          <cell r="J436">
            <v>191.39764413418899</v>
          </cell>
          <cell r="K436"/>
        </row>
        <row r="437">
          <cell r="A437" t="str">
            <v>RHES-SHNGAHP</v>
          </cell>
          <cell r="B437" t="str">
            <v>VAR_fin</v>
          </cell>
          <cell r="C437" t="str">
            <v>RHESELCHPC</v>
          </cell>
          <cell r="F437">
            <v>2.2604374736608484</v>
          </cell>
          <cell r="G437">
            <v>5.4980173834431394</v>
          </cell>
          <cell r="H437">
            <v>6.5772807512249694</v>
          </cell>
          <cell r="I437">
            <v>7.665931605124479</v>
          </cell>
          <cell r="J437">
            <v>7.0922339913544992</v>
          </cell>
          <cell r="K437"/>
        </row>
        <row r="438">
          <cell r="A438" t="str">
            <v>RHES-SHNGAHP</v>
          </cell>
          <cell r="B438" t="str">
            <v>VAR_fin</v>
          </cell>
          <cell r="C438" t="str">
            <v>RNGA</v>
          </cell>
          <cell r="F438">
            <v>1.2455284479997359</v>
          </cell>
          <cell r="G438">
            <v>2.8983980015782658</v>
          </cell>
          <cell r="H438">
            <v>3.4096973107914845</v>
          </cell>
          <cell r="I438">
            <v>3.8998234784501018</v>
          </cell>
          <cell r="J438">
            <v>3.3935752506061823</v>
          </cell>
          <cell r="K438"/>
        </row>
        <row r="439">
          <cell r="A439" t="str">
            <v>RHES-SHNGAHP</v>
          </cell>
          <cell r="B439" t="str">
            <v>VAR_ncap</v>
          </cell>
          <cell r="C439" t="str">
            <v>-</v>
          </cell>
          <cell r="E439">
            <v>5.8234949973101697E-6</v>
          </cell>
          <cell r="F439">
            <v>0.18302156316620299</v>
          </cell>
          <cell r="G439">
            <v>0.26133878972106001</v>
          </cell>
          <cell r="H439">
            <v>8.7450080116015599E-2</v>
          </cell>
          <cell r="I439">
            <v>0.32223883093355998</v>
          </cell>
          <cell r="J439">
            <v>0.30322373174769202</v>
          </cell>
          <cell r="K439"/>
        </row>
        <row r="440">
          <cell r="A440" t="str">
            <v>RHES-SHNGAHP</v>
          </cell>
          <cell r="B440" t="str">
            <v>VAR_cap</v>
          </cell>
          <cell r="C440" t="str">
            <v>-</v>
          </cell>
          <cell r="E440">
            <v>5.8234949973101697E-6</v>
          </cell>
          <cell r="F440">
            <v>0.18302499252348023</v>
          </cell>
          <cell r="G440">
            <v>0.44436319313904526</v>
          </cell>
          <cell r="H440">
            <v>0.53180587875794394</v>
          </cell>
          <cell r="I440">
            <v>0.62059071222479878</v>
          </cell>
          <cell r="J440">
            <v>0.57407152480624313</v>
          </cell>
        </row>
        <row r="441">
          <cell r="A441" t="str">
            <v>D-RHES_LTH_CHPWOD</v>
          </cell>
          <cell r="B441" t="str">
            <v>VAR_fout</v>
          </cell>
          <cell r="C441" t="str">
            <v>RHES_LTH_CHPWOD_ON</v>
          </cell>
          <cell r="D441">
            <v>5.382490178127686E-4</v>
          </cell>
          <cell r="E441">
            <v>1.4868872976468454E-4</v>
          </cell>
          <cell r="F441">
            <v>7.1914984971815118E-5</v>
          </cell>
          <cell r="G441">
            <v>6.7755334321466267E-5</v>
          </cell>
          <cell r="H441">
            <v>1.5292889127553199E-4</v>
          </cell>
          <cell r="I441">
            <v>1.8184781027314094E-4</v>
          </cell>
          <cell r="J441">
            <v>7.2314456069522899E-5</v>
          </cell>
        </row>
        <row r="442">
          <cell r="A442" t="str">
            <v>D-RHES_LTH_CHPWOD</v>
          </cell>
          <cell r="B442" t="str">
            <v>VAR_fout</v>
          </cell>
          <cell r="C442" t="str">
            <v>RHSA_LTH</v>
          </cell>
          <cell r="D442">
            <v>3.9443554742480227E-4</v>
          </cell>
          <cell r="E442">
            <v>4.0509274502145291E-4</v>
          </cell>
          <cell r="F442">
            <v>1.5997700512551514E-4</v>
          </cell>
          <cell r="G442">
            <v>3.6242140184151566E-4</v>
          </cell>
          <cell r="H442">
            <v>2.2638270732905792E-4</v>
          </cell>
          <cell r="I442">
            <v>2.1476353766987919E-4</v>
          </cell>
          <cell r="J442">
            <v>2.1191277494478467E-4</v>
          </cell>
          <cell r="K442"/>
        </row>
        <row r="443">
          <cell r="A443" t="str">
            <v>D-RHES_LTH_CHPWOD</v>
          </cell>
          <cell r="B443" t="str">
            <v>VAR_fout</v>
          </cell>
          <cell r="C443" t="str">
            <v>LTH</v>
          </cell>
          <cell r="E443">
            <v>9.73863017620633E-6</v>
          </cell>
          <cell r="F443">
            <v>9.6416999833410417E-6</v>
          </cell>
          <cell r="G443">
            <v>2.0943032281986077E-5</v>
          </cell>
          <cell r="H443">
            <v>3.3484240212209424E-5</v>
          </cell>
          <cell r="I443">
            <v>1.0237587962459503E-4</v>
          </cell>
          <cell r="J443">
            <v>1.169285591380002E-4</v>
          </cell>
          <cell r="K443"/>
        </row>
        <row r="444">
          <cell r="A444" t="str">
            <v>D-RHES_LTH_CHPWOD</v>
          </cell>
          <cell r="B444" t="str">
            <v>VAR_fin</v>
          </cell>
          <cell r="C444" t="str">
            <v>RHES_LTH_CHPWOD</v>
          </cell>
          <cell r="D444">
            <v>9.3268456523757054E-4</v>
          </cell>
          <cell r="E444">
            <v>5.6352010496234391E-4</v>
          </cell>
          <cell r="F444">
            <v>2.4153369008067126E-4</v>
          </cell>
          <cell r="G444">
            <v>4.5111976844496834E-4</v>
          </cell>
          <cell r="H444">
            <v>4.127958388167992E-4</v>
          </cell>
          <cell r="I444">
            <v>4.9898722756761547E-4</v>
          </cell>
          <cell r="J444">
            <v>4.0115579015230832E-4</v>
          </cell>
        </row>
        <row r="445">
          <cell r="A445" t="str">
            <v>ITOT-SWHSOLBR</v>
          </cell>
          <cell r="B445" t="str">
            <v>VAR_fout</v>
          </cell>
          <cell r="C445" t="str">
            <v>ITOT-SWHASOL</v>
          </cell>
          <cell r="D445">
            <v>6.8107582252723106E-2</v>
          </cell>
          <cell r="E445">
            <v>8.5601774398449418E-2</v>
          </cell>
          <cell r="F445">
            <v>0.10204303950376965</v>
          </cell>
          <cell r="G445">
            <v>2.3313497198267528</v>
          </cell>
          <cell r="H445">
            <v>2.2816749892569783</v>
          </cell>
          <cell r="I445">
            <v>1.9427122909535901</v>
          </cell>
          <cell r="J445">
            <v>1.5090813673207693</v>
          </cell>
        </row>
        <row r="446">
          <cell r="A446" t="str">
            <v>ITOT-SWHSOLBR</v>
          </cell>
          <cell r="B446" t="str">
            <v>VAR_fin</v>
          </cell>
          <cell r="C446" t="str">
            <v>SOL</v>
          </cell>
          <cell r="D446">
            <v>6.8107582252723106E-2</v>
          </cell>
          <cell r="E446">
            <v>8.5601774398449418E-2</v>
          </cell>
          <cell r="F446">
            <v>0.10204303950376965</v>
          </cell>
          <cell r="G446">
            <v>2.3313497198267528</v>
          </cell>
          <cell r="H446">
            <v>2.2816749892569783</v>
          </cell>
          <cell r="I446">
            <v>1.9427122909535901</v>
          </cell>
          <cell r="J446">
            <v>1.5090813673207693</v>
          </cell>
          <cell r="K446"/>
        </row>
        <row r="447">
          <cell r="A447" t="str">
            <v>ITOT-SWHSOLBR</v>
          </cell>
          <cell r="B447" t="str">
            <v>VAR_ncap</v>
          </cell>
          <cell r="C447" t="str">
            <v>-</v>
          </cell>
          <cell r="E447">
            <v>0.34313327500594498</v>
          </cell>
          <cell r="F447">
            <v>8.8488025322031299E-7</v>
          </cell>
          <cell r="G447">
            <v>1.0531388969334801E-6</v>
          </cell>
          <cell r="H447">
            <v>0.17458467285475501</v>
          </cell>
          <cell r="I447">
            <v>0.178329680407118</v>
          </cell>
          <cell r="J447">
            <v>0.151758318404799</v>
          </cell>
        </row>
        <row r="448">
          <cell r="A448" t="str">
            <v>ITOT-SWHSOLBR</v>
          </cell>
          <cell r="B448" t="str">
            <v>VAR_cap</v>
          </cell>
          <cell r="C448" t="str">
            <v>-</v>
          </cell>
          <cell r="D448">
            <v>9.8214799778629808E-3</v>
          </cell>
          <cell r="E448">
            <v>0.35295475498380796</v>
          </cell>
          <cell r="F448">
            <v>0.35295563986406198</v>
          </cell>
          <cell r="G448">
            <v>0.35295669300295796</v>
          </cell>
          <cell r="H448">
            <v>0.35293586525050258</v>
          </cell>
          <cell r="I448">
            <v>0.352915229273015</v>
          </cell>
          <cell r="J448">
            <v>0.35502652860238598</v>
          </cell>
        </row>
        <row r="449">
          <cell r="A449" t="str">
            <v>SCOM-SHNGAHP</v>
          </cell>
          <cell r="B449" t="str">
            <v>VAR_fout</v>
          </cell>
          <cell r="C449" t="str">
            <v>SCOM-SHANGAH</v>
          </cell>
          <cell r="F449">
            <v>2.3718667742634878</v>
          </cell>
          <cell r="G449">
            <v>6.621999952675254</v>
          </cell>
          <cell r="H449">
            <v>8.6337602659160684</v>
          </cell>
          <cell r="I449">
            <v>11.067917154214001</v>
          </cell>
          <cell r="J449">
            <v>11.379359541489546</v>
          </cell>
        </row>
        <row r="450">
          <cell r="A450" t="str">
            <v>SCOM-SHNGAHP</v>
          </cell>
          <cell r="B450" t="str">
            <v>VAR_fout</v>
          </cell>
          <cell r="C450" t="str">
            <v>CO2_S</v>
          </cell>
          <cell r="F450">
            <v>69.718644533660594</v>
          </cell>
          <cell r="G450">
            <v>186.15308141094201</v>
          </cell>
          <cell r="H450">
            <v>236.773952801571</v>
          </cell>
          <cell r="I450">
            <v>295.82341577373103</v>
          </cell>
          <cell r="J450">
            <v>279.62555028187302</v>
          </cell>
        </row>
        <row r="451">
          <cell r="A451" t="str">
            <v>SCOM-SHNGAHP</v>
          </cell>
          <cell r="B451" t="str">
            <v>VAR_fin</v>
          </cell>
          <cell r="C451" t="str">
            <v>SCOMELCHPC</v>
          </cell>
          <cell r="F451">
            <v>2.3718667742634878</v>
          </cell>
          <cell r="G451">
            <v>6.621999952675254</v>
          </cell>
          <cell r="H451">
            <v>8.6337602659160684</v>
          </cell>
          <cell r="I451">
            <v>11.067917154214001</v>
          </cell>
          <cell r="J451">
            <v>11.379359541489546</v>
          </cell>
        </row>
        <row r="452">
          <cell r="A452" t="str">
            <v>SCOM-SHNGAHP</v>
          </cell>
          <cell r="B452" t="str">
            <v>VAR_fin</v>
          </cell>
          <cell r="C452" t="str">
            <v>SNGA</v>
          </cell>
          <cell r="F452">
            <v>1.2361461796748339</v>
          </cell>
          <cell r="G452">
            <v>3.3005865498394074</v>
          </cell>
          <cell r="H452">
            <v>4.1981197305243123</v>
          </cell>
          <cell r="I452">
            <v>5.2450960243569282</v>
          </cell>
          <cell r="J452">
            <v>4.9578998276927866</v>
          </cell>
        </row>
        <row r="453">
          <cell r="A453" t="str">
            <v>SCOM-SHNGAHP</v>
          </cell>
          <cell r="B453" t="str">
            <v>VAR_ncap</v>
          </cell>
          <cell r="C453" t="str">
            <v>-</v>
          </cell>
          <cell r="D453">
            <v>7.2945082589676304E-6</v>
          </cell>
          <cell r="E453">
            <v>1.1004426603172699E-3</v>
          </cell>
          <cell r="F453">
            <v>0.184093500600783</v>
          </cell>
          <cell r="G453">
            <v>0.327606639103666</v>
          </cell>
          <cell r="H453">
            <v>0.157072648138671</v>
          </cell>
          <cell r="I453">
            <v>0.44710072916674998</v>
          </cell>
          <cell r="J453">
            <v>0.49932433927963399</v>
          </cell>
        </row>
        <row r="454">
          <cell r="A454" t="str">
            <v>SCOM-SHNGAHP</v>
          </cell>
          <cell r="B454" t="str">
            <v>VAR_cap</v>
          </cell>
          <cell r="C454" t="str">
            <v>-</v>
          </cell>
          <cell r="D454">
            <v>7.2945082589676304E-6</v>
          </cell>
          <cell r="E454">
            <v>1.1029641355939169E-3</v>
          </cell>
          <cell r="F454">
            <v>0.18519308585200112</v>
          </cell>
          <cell r="G454">
            <v>0.51279718208965319</v>
          </cell>
          <cell r="H454">
            <v>0.66931594286762641</v>
          </cell>
          <cell r="I454">
            <v>0.86051782019620926</v>
          </cell>
          <cell r="J454">
            <v>0.89023581513732908</v>
          </cell>
        </row>
        <row r="455">
          <cell r="A455" t="str">
            <v>RHNS-SHNGABR</v>
          </cell>
          <cell r="B455" t="str">
            <v>VAR_fout</v>
          </cell>
          <cell r="C455" t="str">
            <v>CO2_R</v>
          </cell>
          <cell r="E455">
            <v>6.0708568208921001</v>
          </cell>
          <cell r="F455">
            <v>2.37046534435351</v>
          </cell>
          <cell r="G455">
            <v>5.1279269403334</v>
          </cell>
          <cell r="H455">
            <v>5.1122419188940897</v>
          </cell>
          <cell r="I455">
            <v>4.7828460518915996</v>
          </cell>
          <cell r="J455">
            <v>2.0661375459898799</v>
          </cell>
        </row>
        <row r="456">
          <cell r="A456" t="str">
            <v>RHNS-SHNGABR</v>
          </cell>
          <cell r="B456" t="str">
            <v>VAR_fout</v>
          </cell>
          <cell r="C456" t="str">
            <v>RHNS-SHNGA</v>
          </cell>
          <cell r="E456">
            <v>0.10225734006821806</v>
          </cell>
          <cell r="F456">
            <v>4.0331251343500275E-2</v>
          </cell>
          <cell r="G456">
            <v>8.7246882049691651E-2</v>
          </cell>
          <cell r="H456">
            <v>8.6980016076095221E-2</v>
          </cell>
          <cell r="I456">
            <v>8.1375653398854511E-2</v>
          </cell>
          <cell r="J456">
            <v>3.5153398414388817E-2</v>
          </cell>
        </row>
        <row r="457">
          <cell r="A457" t="str">
            <v>RHNS-SHNGABR</v>
          </cell>
          <cell r="B457" t="str">
            <v>VAR_fin</v>
          </cell>
          <cell r="C457" t="str">
            <v>RNGA</v>
          </cell>
          <cell r="E457">
            <v>0.10763930533496632</v>
          </cell>
          <cell r="F457">
            <v>4.202952738215452E-2</v>
          </cell>
          <cell r="G457">
            <v>9.0920690431443241E-2</v>
          </cell>
          <cell r="H457">
            <v>9.0642587214434203E-2</v>
          </cell>
          <cell r="I457">
            <v>8.4802234962617087E-2</v>
          </cell>
          <cell r="J457">
            <v>3.6633644432444594E-2</v>
          </cell>
        </row>
        <row r="458">
          <cell r="A458" t="str">
            <v>RHNS-SHNGABR</v>
          </cell>
          <cell r="B458" t="str">
            <v>VAR_ncap</v>
          </cell>
          <cell r="C458" t="str">
            <v>-</v>
          </cell>
          <cell r="E458">
            <v>8.1999461427128498E-3</v>
          </cell>
          <cell r="F458">
            <v>2.2483629102857801E-5</v>
          </cell>
          <cell r="G458">
            <v>1.58988682855729E-5</v>
          </cell>
          <cell r="H458">
            <v>4.2619961144191596E-3</v>
          </cell>
          <cell r="I458">
            <v>2.7134544615970901E-3</v>
          </cell>
          <cell r="J458">
            <v>4.8475473071260699E-5</v>
          </cell>
        </row>
        <row r="459">
          <cell r="A459" t="str">
            <v>RHNS-SHNGABR</v>
          </cell>
          <cell r="B459" t="str">
            <v>VAR_cap</v>
          </cell>
          <cell r="C459" t="str">
            <v>-</v>
          </cell>
          <cell r="E459">
            <v>8.1999461427128498E-3</v>
          </cell>
          <cell r="F459">
            <v>8.2145681237354821E-3</v>
          </cell>
          <cell r="G459">
            <v>8.2218003194307557E-3</v>
          </cell>
          <cell r="H459">
            <v>8.4693988098903661E-3</v>
          </cell>
          <cell r="I459">
            <v>6.9793609146918557E-3</v>
          </cell>
          <cell r="J459">
            <v>3.8076004834184849E-3</v>
          </cell>
        </row>
        <row r="460">
          <cell r="A460" t="str">
            <v>D-RHNM_LTH_CHPNGA</v>
          </cell>
          <cell r="B460" t="str">
            <v>VAR_fout</v>
          </cell>
          <cell r="C460" t="str">
            <v>RHSA_LTH</v>
          </cell>
          <cell r="D460">
            <v>4.0734707669926116E-4</v>
          </cell>
          <cell r="E460">
            <v>6.2575142036286275E-3</v>
          </cell>
          <cell r="F460">
            <v>1.6589833765079585E-2</v>
          </cell>
          <cell r="G460">
            <v>3.54494107695061E-4</v>
          </cell>
          <cell r="H460">
            <v>2.6882745653693393E-4</v>
          </cell>
          <cell r="I460">
            <v>2.9292069302410068E-4</v>
          </cell>
          <cell r="J460">
            <v>2.7420988646864825E-4</v>
          </cell>
        </row>
        <row r="461">
          <cell r="A461" t="str">
            <v>D-RHNM_LTH_CHPNGA</v>
          </cell>
          <cell r="B461" t="str">
            <v>VAR_fout</v>
          </cell>
          <cell r="C461" t="str">
            <v>LTH</v>
          </cell>
          <cell r="E461">
            <v>3.5321755210567951E-6</v>
          </cell>
          <cell r="F461">
            <v>6.8358881013492334E-6</v>
          </cell>
          <cell r="G461">
            <v>2.0960940941049377E-5</v>
          </cell>
          <cell r="H461">
            <v>3.4685841422163374E-5</v>
          </cell>
          <cell r="I461">
            <v>1.0666649735981062E-4</v>
          </cell>
          <cell r="J461">
            <v>1.2376847937693627E-4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RHNM_LTH_CHPNGA_ON</v>
          </cell>
          <cell r="D462">
            <v>5.2522698576197471E-4</v>
          </cell>
          <cell r="E462">
            <v>2.7657652985912645E-3</v>
          </cell>
          <cell r="G462">
            <v>7.5679727935820039E-5</v>
          </cell>
          <cell r="H462">
            <v>1.1058217858977702E-4</v>
          </cell>
          <cell r="I462">
            <v>1.51149038985125E-4</v>
          </cell>
          <cell r="J462">
            <v>6.2929794167410267E-5</v>
          </cell>
        </row>
        <row r="463">
          <cell r="A463" t="str">
            <v>D-RHNM_LTH_CHPNGA</v>
          </cell>
          <cell r="B463" t="str">
            <v>VAR_fin</v>
          </cell>
          <cell r="C463" t="str">
            <v>RHNM_LTH_CHPNGA</v>
          </cell>
          <cell r="D463">
            <v>9.3257406246123533E-4</v>
          </cell>
          <cell r="E463">
            <v>9.0272466060294758E-3</v>
          </cell>
          <cell r="F463">
            <v>1.6596669653180938E-2</v>
          </cell>
          <cell r="G463">
            <v>4.5113477657193057E-4</v>
          </cell>
          <cell r="H463">
            <v>4.1409547654887421E-4</v>
          </cell>
          <cell r="I463">
            <v>5.5073622936903648E-4</v>
          </cell>
          <cell r="J463">
            <v>4.6090816001299472E-4</v>
          </cell>
        </row>
        <row r="464">
          <cell r="A464" t="str">
            <v>RHNM-SHELCHP</v>
          </cell>
          <cell r="B464" t="str">
            <v>VAR_fout</v>
          </cell>
          <cell r="C464" t="str">
            <v>RHNM-SHAELCH</v>
          </cell>
          <cell r="E464">
            <v>7.5536230209735811E-3</v>
          </cell>
          <cell r="F464">
            <v>0.93952595332088373</v>
          </cell>
          <cell r="G464">
            <v>1.4406614028610831</v>
          </cell>
          <cell r="H464">
            <v>1.9495996668508624</v>
          </cell>
          <cell r="I464">
            <v>2.3712930841478994</v>
          </cell>
          <cell r="J464">
            <v>3.0108881216637196</v>
          </cell>
        </row>
        <row r="465">
          <cell r="A465" t="str">
            <v>RHNM-SHELCHP</v>
          </cell>
          <cell r="B465" t="str">
            <v>VAR_fin</v>
          </cell>
          <cell r="C465" t="str">
            <v>RHNM_ELC</v>
          </cell>
          <cell r="E465">
            <v>2.3218103548074548E-3</v>
          </cell>
          <cell r="F465">
            <v>0.27997671124155438</v>
          </cell>
          <cell r="G465">
            <v>0.40783215068754231</v>
          </cell>
          <cell r="H465">
            <v>0.52774001059291531</v>
          </cell>
          <cell r="I465">
            <v>0.61871042529055909</v>
          </cell>
          <cell r="J465">
            <v>0.72939241710007374</v>
          </cell>
        </row>
        <row r="466">
          <cell r="A466" t="str">
            <v>RHNM-SHELCHP</v>
          </cell>
          <cell r="B466" t="str">
            <v>VAR_fin</v>
          </cell>
          <cell r="C466" t="str">
            <v>RHNMELCHPC</v>
          </cell>
          <cell r="E466">
            <v>7.5536230209735811E-3</v>
          </cell>
          <cell r="F466">
            <v>0.93952595332088373</v>
          </cell>
          <cell r="G466">
            <v>1.4406614028610831</v>
          </cell>
          <cell r="H466">
            <v>1.9495996668508624</v>
          </cell>
          <cell r="I466">
            <v>2.3712930841478994</v>
          </cell>
          <cell r="J466">
            <v>3.0108881216637196</v>
          </cell>
        </row>
        <row r="467">
          <cell r="A467" t="str">
            <v>RHNM-SHELCHP</v>
          </cell>
          <cell r="B467" t="str">
            <v>VAR_ncap</v>
          </cell>
          <cell r="C467" t="str">
            <v>-</v>
          </cell>
          <cell r="E467">
            <v>2.3208457636032199E-3</v>
          </cell>
          <cell r="F467">
            <v>7.3034329447363197E-2</v>
          </cell>
          <cell r="G467">
            <v>4.0579580972990803E-2</v>
          </cell>
          <cell r="H467">
            <v>3.9282911173004503E-2</v>
          </cell>
          <cell r="I467">
            <v>0.10787329497138699</v>
          </cell>
          <cell r="J467">
            <v>0.139609040318663</v>
          </cell>
        </row>
        <row r="468">
          <cell r="A468" t="str">
            <v>RHNM-SHELCHP</v>
          </cell>
          <cell r="B468" t="str">
            <v>VAR_cap</v>
          </cell>
          <cell r="C468" t="str">
            <v>-</v>
          </cell>
          <cell r="E468">
            <v>2.3208457636032199E-3</v>
          </cell>
          <cell r="F468">
            <v>7.5351075253536945E-2</v>
          </cell>
          <cell r="G468">
            <v>0.11591861507969782</v>
          </cell>
          <cell r="H468">
            <v>0.15406395248521948</v>
          </cell>
          <cell r="I468">
            <v>0.18779621930430043</v>
          </cell>
          <cell r="J468">
            <v>0.23450823808175922</v>
          </cell>
        </row>
        <row r="469">
          <cell r="A469" t="str">
            <v>D-IH2R</v>
          </cell>
          <cell r="B469" t="str">
            <v>VAR_fout</v>
          </cell>
          <cell r="C469" t="str">
            <v>IH2</v>
          </cell>
          <cell r="H469">
            <v>7.7367046441443641</v>
          </cell>
          <cell r="I469">
            <v>8.9865362558323376</v>
          </cell>
          <cell r="J469">
            <v>7.9556468467417334</v>
          </cell>
        </row>
        <row r="470">
          <cell r="A470" t="str">
            <v>D-IH2R</v>
          </cell>
          <cell r="B470" t="str">
            <v>VAR_fin</v>
          </cell>
          <cell r="C470" t="str">
            <v>H2</v>
          </cell>
          <cell r="H470">
            <v>7.7367046441443641</v>
          </cell>
          <cell r="I470">
            <v>8.9865362558323376</v>
          </cell>
          <cell r="J470">
            <v>7.9556468467417334</v>
          </cell>
        </row>
        <row r="471">
          <cell r="A471" t="str">
            <v>D-IH2R</v>
          </cell>
          <cell r="B471" t="str">
            <v>VAR_ncap</v>
          </cell>
          <cell r="C471" t="str">
            <v>-</v>
          </cell>
          <cell r="G471">
            <v>1.03931012522124E-5</v>
          </cell>
          <cell r="H471">
            <v>0.27367187743653099</v>
          </cell>
          <cell r="I471">
            <v>0.38541004069599599</v>
          </cell>
          <cell r="J471">
            <v>0.168504971435156</v>
          </cell>
        </row>
        <row r="472">
          <cell r="A472" t="str">
            <v>D-IH2R</v>
          </cell>
          <cell r="B472" t="str">
            <v>VAR_cap</v>
          </cell>
          <cell r="C472" t="str">
            <v>-</v>
          </cell>
          <cell r="G472">
            <v>1.03931012522124E-5</v>
          </cell>
          <cell r="H472">
            <v>0.273679767693216</v>
          </cell>
          <cell r="I472">
            <v>0.43388332997002199</v>
          </cell>
          <cell r="J472">
            <v>0.300516099082136</v>
          </cell>
        </row>
        <row r="473">
          <cell r="A473" t="str">
            <v>RHEM-SHSTG-ELC</v>
          </cell>
          <cell r="B473" t="str">
            <v>VAR_fout</v>
          </cell>
          <cell r="C473" t="str">
            <v>RHEM-SHAELCB</v>
          </cell>
          <cell r="D473">
            <v>0.58215700676033999</v>
          </cell>
          <cell r="E473">
            <v>0.667964833689355</v>
          </cell>
          <cell r="F473">
            <v>3.59813952824673E-3</v>
          </cell>
          <cell r="G473">
            <v>1.0627027276904906E-3</v>
          </cell>
          <cell r="H473">
            <v>2.0399596740725703E-4</v>
          </cell>
          <cell r="I473">
            <v>2.0151143007086212E-4</v>
          </cell>
          <cell r="J473">
            <v>3.2983616229752429E-4</v>
          </cell>
        </row>
        <row r="474">
          <cell r="A474" t="str">
            <v>RHEM-SHSTG-ELC</v>
          </cell>
          <cell r="B474" t="str">
            <v>VAR_fout</v>
          </cell>
          <cell r="C474" t="str">
            <v>AUX_RHEM-SHSTG-ELC_OUT</v>
          </cell>
          <cell r="D474">
            <v>0.58273916376710033</v>
          </cell>
          <cell r="E474">
            <v>0.66863279852304458</v>
          </cell>
          <cell r="F474">
            <v>3.6017376677749779E-3</v>
          </cell>
          <cell r="G474">
            <v>1.0637654304181809E-3</v>
          </cell>
          <cell r="H474">
            <v>2.0419996337466426E-4</v>
          </cell>
          <cell r="I474">
            <v>2.0171294150093296E-4</v>
          </cell>
          <cell r="J474">
            <v>3.3016599845982171E-4</v>
          </cell>
        </row>
        <row r="475">
          <cell r="A475" t="str">
            <v>RHEM-SHSTG-ELC</v>
          </cell>
          <cell r="B475" t="str">
            <v>VAR_fin</v>
          </cell>
          <cell r="C475" t="str">
            <v>RHEM-SHAELCB</v>
          </cell>
          <cell r="D475">
            <v>0.58233611858217948</v>
          </cell>
          <cell r="E475">
            <v>0.6679528777478887</v>
          </cell>
          <cell r="F475">
            <v>3.5665449301001528E-3</v>
          </cell>
          <cell r="G475">
            <v>1.049939873835075E-3</v>
          </cell>
          <cell r="H475">
            <v>2.1442588432641797E-4</v>
          </cell>
          <cell r="I475">
            <v>2.156964729885996E-4</v>
          </cell>
          <cell r="J475">
            <v>3.3967084383711274E-4</v>
          </cell>
        </row>
        <row r="476">
          <cell r="A476" t="str">
            <v>RHEM-SHSTG-ELC</v>
          </cell>
          <cell r="B476" t="str">
            <v>VAR_ncap</v>
          </cell>
          <cell r="C476" t="str">
            <v>-</v>
          </cell>
          <cell r="D476">
            <v>8.5356383397988303E-2</v>
          </cell>
          <cell r="E476">
            <v>4.1694570543109998E-4</v>
          </cell>
          <cell r="F476">
            <v>2.24549889339112E-4</v>
          </cell>
          <cell r="G476">
            <v>3.3726928909517799E-4</v>
          </cell>
          <cell r="H476">
            <v>2.9481874919249301E-4</v>
          </cell>
          <cell r="I476">
            <v>1.86484123943229E-4</v>
          </cell>
          <cell r="J476">
            <v>1.0328674283026599E-4</v>
          </cell>
        </row>
        <row r="477">
          <cell r="A477" t="str">
            <v>RHEM-SHSTG-ELC</v>
          </cell>
          <cell r="B477" t="str">
            <v>VAR_cap</v>
          </cell>
          <cell r="C477" t="str">
            <v>-</v>
          </cell>
          <cell r="D477">
            <v>8.5356383397988303E-2</v>
          </cell>
          <cell r="E477">
            <v>7.688864118584568E-2</v>
          </cell>
          <cell r="F477">
            <v>1.201745770787202E-3</v>
          </cell>
          <cell r="G477">
            <v>4.0267189024428829E-4</v>
          </cell>
          <cell r="H477">
            <v>1.1691107941130124E-4</v>
          </cell>
          <cell r="I477">
            <v>1.0428501475292107E-4</v>
          </cell>
          <cell r="J477">
            <v>1.1113858676757099E-4</v>
          </cell>
        </row>
        <row r="478">
          <cell r="A478" t="str">
            <v>RHNM-SHLTHCHPWOD</v>
          </cell>
          <cell r="B478" t="str">
            <v>VAR_ncap</v>
          </cell>
          <cell r="C478" t="str">
            <v>-</v>
          </cell>
          <cell r="G478">
            <v>2.4561590242489401E-4</v>
          </cell>
          <cell r="H478">
            <v>4.3620998010372801E-4</v>
          </cell>
          <cell r="I478">
            <v>2.7334408448105899E-4</v>
          </cell>
          <cell r="J478">
            <v>1.48392141542486E-4</v>
          </cell>
        </row>
        <row r="479">
          <cell r="A479" t="str">
            <v>RHNM-SHLTHCHPWOD</v>
          </cell>
          <cell r="B479" t="str">
            <v>VAR_cap</v>
          </cell>
          <cell r="C479" t="str">
            <v>-</v>
          </cell>
          <cell r="G479">
            <v>2.4561590242489401E-4</v>
          </cell>
          <cell r="H479">
            <v>5.5898135137419391E-4</v>
          </cell>
          <cell r="I479">
            <v>4.9315887061722702E-4</v>
          </cell>
          <cell r="J479">
            <v>2.5098415081701306E-4</v>
          </cell>
        </row>
        <row r="480">
          <cell r="A480" t="str">
            <v>ITOT-SWHDEM</v>
          </cell>
          <cell r="B480" t="str">
            <v>VAR_fout</v>
          </cell>
          <cell r="C480" t="str">
            <v>ITOT-SWHD</v>
          </cell>
          <cell r="D480">
            <v>72.708169056255471</v>
          </cell>
          <cell r="E480">
            <v>73.852692481414579</v>
          </cell>
          <cell r="F480">
            <v>76.069980061562006</v>
          </cell>
          <cell r="G480">
            <v>76.729393885461121</v>
          </cell>
          <cell r="H480">
            <v>77.201202586744301</v>
          </cell>
          <cell r="I480">
            <v>77.824090106886814</v>
          </cell>
          <cell r="J480">
            <v>78.65637758652727</v>
          </cell>
        </row>
        <row r="481">
          <cell r="A481" t="str">
            <v>ITOT-SWHDEM</v>
          </cell>
          <cell r="B481" t="str">
            <v>VAR_fin</v>
          </cell>
          <cell r="C481" t="str">
            <v>ITOT-SWHNGAH</v>
          </cell>
          <cell r="F481">
            <v>6.9230378015125271E-2</v>
          </cell>
          <cell r="G481">
            <v>2.4951663942571305E-2</v>
          </cell>
          <cell r="H481">
            <v>5.4526367940087965E-2</v>
          </cell>
          <cell r="I481">
            <v>2.9680247964664879E-2</v>
          </cell>
          <cell r="J481">
            <v>1.8633559885595872E-2</v>
          </cell>
        </row>
        <row r="482">
          <cell r="A482" t="str">
            <v>ITOT-SWHDEM</v>
          </cell>
          <cell r="B482" t="str">
            <v>VAR_fin</v>
          </cell>
          <cell r="C482" t="str">
            <v>ITOT-SWH</v>
          </cell>
          <cell r="D482">
            <v>61.717366117782447</v>
          </cell>
          <cell r="E482">
            <v>60.310224378407177</v>
          </cell>
          <cell r="F482">
            <v>61.063778614449284</v>
          </cell>
          <cell r="G482">
            <v>53.176603724230489</v>
          </cell>
          <cell r="H482">
            <v>52.633664540326997</v>
          </cell>
          <cell r="I482">
            <v>44.989247380348324</v>
          </cell>
          <cell r="J482">
            <v>42.358987760096376</v>
          </cell>
        </row>
        <row r="483">
          <cell r="A483" t="str">
            <v>ITOT-SWHDEM</v>
          </cell>
          <cell r="B483" t="str">
            <v>VAR_fin</v>
          </cell>
          <cell r="C483" t="str">
            <v>ITOT-SWHELCH</v>
          </cell>
          <cell r="D483">
            <v>1.1081275654045448</v>
          </cell>
          <cell r="E483">
            <v>1.400841716428753</v>
          </cell>
          <cell r="F483">
            <v>2.5758863445991289</v>
          </cell>
          <cell r="G483">
            <v>6.1159433753840968</v>
          </cell>
          <cell r="H483">
            <v>7.1168363659635476</v>
          </cell>
          <cell r="I483">
            <v>7.1236637212910781</v>
          </cell>
          <cell r="J483">
            <v>10.943615698418366</v>
          </cell>
        </row>
        <row r="484">
          <cell r="A484" t="str">
            <v>ITOT-SWHDEM</v>
          </cell>
          <cell r="B484" t="str">
            <v>VAR_fin</v>
          </cell>
          <cell r="C484" t="str">
            <v>ITOT-SWHC</v>
          </cell>
          <cell r="E484">
            <v>1.7219299153213108</v>
          </cell>
          <cell r="F484">
            <v>1.7218870968899473</v>
          </cell>
          <cell r="G484">
            <v>1.7823025050266423</v>
          </cell>
          <cell r="H484">
            <v>1.8195739568843186</v>
          </cell>
          <cell r="I484">
            <v>10.570835766449784</v>
          </cell>
          <cell r="J484">
            <v>10.630063263722249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</v>
          </cell>
          <cell r="D485">
            <v>9.8143037599870251</v>
          </cell>
          <cell r="E485">
            <v>10.335130202796305</v>
          </cell>
          <cell r="F485">
            <v>10.53932707585988</v>
          </cell>
          <cell r="G485">
            <v>13.300258218375667</v>
          </cell>
          <cell r="H485">
            <v>13.298095949877537</v>
          </cell>
          <cell r="I485">
            <v>13.188533738048813</v>
          </cell>
          <cell r="J485">
            <v>13.20208042030481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ITOT-SWHSOL</v>
          </cell>
          <cell r="D486">
            <v>6.8371613081546115E-2</v>
          </cell>
          <cell r="E486">
            <v>8.6240394419687616E-2</v>
          </cell>
          <cell r="F486">
            <v>0.10221185182747444</v>
          </cell>
          <cell r="G486">
            <v>2.3310591125078908</v>
          </cell>
          <cell r="H486">
            <v>2.281151481143354</v>
          </cell>
          <cell r="I486">
            <v>1.9243418730543276</v>
          </cell>
          <cell r="J486">
            <v>1.5057564826960077</v>
          </cell>
        </row>
        <row r="487">
          <cell r="A487" t="str">
            <v>D-RHNS_NKEV_GAS_ELC_CHP</v>
          </cell>
          <cell r="B487" t="str">
            <v>VAR_fout</v>
          </cell>
          <cell r="C487" t="str">
            <v>RHNS_ELC</v>
          </cell>
          <cell r="E487">
            <v>1.4731516005319785E-3</v>
          </cell>
          <cell r="F487">
            <v>2.6639753941495076E-3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ELC5</v>
          </cell>
          <cell r="E488">
            <v>1.3644797865013554E-3</v>
          </cell>
          <cell r="F488">
            <v>2.3377320324447673E-3</v>
          </cell>
        </row>
        <row r="489">
          <cell r="A489" t="str">
            <v>D-RHNS_NKEV_GAS_ELC_CHP</v>
          </cell>
          <cell r="B489" t="str">
            <v>VAR_fin</v>
          </cell>
          <cell r="C489" t="str">
            <v>RHNS_NKEV_GAS_ELC_CHP</v>
          </cell>
          <cell r="E489">
            <v>2.8376313870333348E-3</v>
          </cell>
          <cell r="F489">
            <v>4.8644748530734302E-3</v>
          </cell>
        </row>
        <row r="490">
          <cell r="A490" t="str">
            <v>RHNM-SHSTG-NGAHP</v>
          </cell>
          <cell r="B490" t="str">
            <v>VAR_fout</v>
          </cell>
          <cell r="C490" t="str">
            <v>RHNM-SHANGAH</v>
          </cell>
          <cell r="F490">
            <v>1.2747252033572904E-2</v>
          </cell>
          <cell r="G490">
            <v>3.946146153854585E-2</v>
          </cell>
          <cell r="H490">
            <v>5.1824773437900692E-2</v>
          </cell>
          <cell r="I490">
            <v>6.9626053737992424E-2</v>
          </cell>
          <cell r="J490">
            <v>8.9216559278989777E-2</v>
          </cell>
        </row>
        <row r="491">
          <cell r="A491" t="str">
            <v>RHNM-SHSTG-NGAHP</v>
          </cell>
          <cell r="B491" t="str">
            <v>VAR_fout</v>
          </cell>
          <cell r="C491" t="str">
            <v>AUX_RHNM-SHSTG-NGAHP_OUT</v>
          </cell>
          <cell r="F491">
            <v>1.2759999285606479E-2</v>
          </cell>
          <cell r="G491">
            <v>3.9500923000084391E-2</v>
          </cell>
          <cell r="H491">
            <v>5.1876598211338623E-2</v>
          </cell>
          <cell r="I491">
            <v>6.9695679791730414E-2</v>
          </cell>
          <cell r="J491">
            <v>8.9305775838268847E-2</v>
          </cell>
        </row>
        <row r="492">
          <cell r="A492" t="str">
            <v>RHNM-SHSTG-NGAHP</v>
          </cell>
          <cell r="B492" t="str">
            <v>VAR_fin</v>
          </cell>
          <cell r="C492" t="str">
            <v>RHNM-SHANGAH</v>
          </cell>
          <cell r="F492">
            <v>1.3176984028213757E-2</v>
          </cell>
          <cell r="G492">
            <v>3.986700889115264E-2</v>
          </cell>
          <cell r="H492">
            <v>5.2106079011037316E-2</v>
          </cell>
          <cell r="I492">
            <v>6.9862035837243611E-2</v>
          </cell>
          <cell r="J492">
            <v>8.9573703252666018E-2</v>
          </cell>
        </row>
        <row r="493">
          <cell r="A493" t="str">
            <v>RHNM-SHSTG-NGAHP</v>
          </cell>
          <cell r="B493" t="str">
            <v>VAR_ncap</v>
          </cell>
          <cell r="C493" t="str">
            <v>-</v>
          </cell>
          <cell r="D493">
            <v>3.3128484197471E-4</v>
          </cell>
          <cell r="E493">
            <v>2.4232887596392701E-4</v>
          </cell>
          <cell r="F493">
            <v>5.4364583411108999E-3</v>
          </cell>
          <cell r="G493">
            <v>8.1587174020800093E-3</v>
          </cell>
          <cell r="H493">
            <v>6.3342497500283104E-3</v>
          </cell>
          <cell r="I493">
            <v>1.19479339964746E-2</v>
          </cell>
          <cell r="J493">
            <v>1.6937071448213201E-2</v>
          </cell>
        </row>
        <row r="494">
          <cell r="A494" t="str">
            <v>RHNM-SHSTG-NGAHP</v>
          </cell>
          <cell r="B494" t="str">
            <v>VAR_cap</v>
          </cell>
          <cell r="C494" t="str">
            <v>-</v>
          </cell>
          <cell r="D494">
            <v>3.3128484197471E-4</v>
          </cell>
          <cell r="E494">
            <v>2.8570615770151997E-5</v>
          </cell>
          <cell r="F494">
            <v>5.3485833128585547E-3</v>
          </cell>
          <cell r="G494">
            <v>1.312448967709428E-2</v>
          </cell>
          <cell r="H494">
            <v>1.8710465333125079E-2</v>
          </cell>
          <cell r="I494">
            <v>2.3427805530352012E-2</v>
          </cell>
          <cell r="J494">
            <v>2.7409237910014872E-2</v>
          </cell>
        </row>
        <row r="495">
          <cell r="A495" t="str">
            <v>D-IBIO</v>
          </cell>
          <cell r="B495" t="str">
            <v>VAR_fout</v>
          </cell>
          <cell r="C495" t="str">
            <v>IBIO</v>
          </cell>
          <cell r="D495">
            <v>0.43687091603376721</v>
          </cell>
          <cell r="E495">
            <v>0.55213811081003705</v>
          </cell>
          <cell r="F495">
            <v>1.6042881164276321</v>
          </cell>
          <cell r="G495">
            <v>3.1475976994673842</v>
          </cell>
          <cell r="H495">
            <v>3.8185844985630042</v>
          </cell>
          <cell r="I495">
            <v>3.818847952737721</v>
          </cell>
          <cell r="J495">
            <v>4.2657637804033888</v>
          </cell>
        </row>
        <row r="496">
          <cell r="A496" t="str">
            <v>D-IBIO</v>
          </cell>
          <cell r="B496" t="str">
            <v>VAR_fin</v>
          </cell>
          <cell r="C496" t="str">
            <v>BIO</v>
          </cell>
          <cell r="D496">
            <v>0.43687091603376721</v>
          </cell>
          <cell r="E496">
            <v>0.55213811081003705</v>
          </cell>
          <cell r="F496">
            <v>1.6042881164276321</v>
          </cell>
          <cell r="G496">
            <v>3.1475976994673842</v>
          </cell>
          <cell r="H496">
            <v>3.8185844985630042</v>
          </cell>
          <cell r="I496">
            <v>3.818847952737721</v>
          </cell>
          <cell r="J496">
            <v>4.2657637804033888</v>
          </cell>
        </row>
        <row r="497">
          <cell r="A497" t="str">
            <v>RHNS-SHLFOBR</v>
          </cell>
          <cell r="B497" t="str">
            <v>VAR_fout</v>
          </cell>
          <cell r="C497" t="str">
            <v>CO2_R</v>
          </cell>
          <cell r="E497">
            <v>7.7465635740704003E-2</v>
          </cell>
          <cell r="F497">
            <v>1.59394189712735</v>
          </cell>
          <cell r="G497">
            <v>3.8875001872251098</v>
          </cell>
          <cell r="H497">
            <v>3.8568113294263799</v>
          </cell>
          <cell r="I497">
            <v>3.3760941398909998</v>
          </cell>
        </row>
        <row r="498">
          <cell r="A498" t="str">
            <v>RHNS-SHLFOBR</v>
          </cell>
          <cell r="B498" t="str">
            <v>VAR_fout</v>
          </cell>
          <cell r="C498" t="str">
            <v>RHNS-SHLFO</v>
          </cell>
          <cell r="E498">
            <v>9.4160513818698397E-4</v>
          </cell>
          <cell r="F498">
            <v>2.0532806506135266E-2</v>
          </cell>
          <cell r="G498">
            <v>5.0077916441442556E-2</v>
          </cell>
          <cell r="H498">
            <v>4.9682589371985712E-2</v>
          </cell>
          <cell r="I498">
            <v>4.3490097001534903E-2</v>
          </cell>
        </row>
        <row r="499">
          <cell r="A499" t="str">
            <v>RHNS-SHLFOBR</v>
          </cell>
          <cell r="B499" t="str">
            <v>VAR_fin</v>
          </cell>
          <cell r="C499" t="str">
            <v>RLFO</v>
          </cell>
          <cell r="E499">
            <v>1.0510941077436103E-3</v>
          </cell>
          <cell r="F499">
            <v>2.162743415369538E-2</v>
          </cell>
          <cell r="G499">
            <v>5.2747628049187346E-2</v>
          </cell>
          <cell r="H499">
            <v>5.2331225636721442E-2</v>
          </cell>
          <cell r="I499">
            <v>4.5808604340447749E-2</v>
          </cell>
        </row>
        <row r="500">
          <cell r="A500" t="str">
            <v>RHNS-SHLFOBR</v>
          </cell>
          <cell r="B500" t="str">
            <v>VAR_ncap</v>
          </cell>
          <cell r="C500" t="str">
            <v>-</v>
          </cell>
          <cell r="E500">
            <v>4.21906591254453E-4</v>
          </cell>
          <cell r="F500">
            <v>1.82830253757853E-2</v>
          </cell>
        </row>
        <row r="501">
          <cell r="A501" t="str">
            <v>RHNS-SHLFOBR</v>
          </cell>
          <cell r="B501" t="str">
            <v>VAR_cap</v>
          </cell>
          <cell r="C501" t="str">
            <v>-</v>
          </cell>
          <cell r="E501">
            <v>4.21906591254453E-4</v>
          </cell>
          <cell r="F501">
            <v>1.8635828165243416E-2</v>
          </cell>
          <cell r="G501">
            <v>1.8565873343792491E-2</v>
          </cell>
          <cell r="H501">
            <v>1.8401427438621144E-2</v>
          </cell>
          <cell r="I501">
            <v>3.2378981249848054E-3</v>
          </cell>
        </row>
        <row r="502">
          <cell r="A502" t="str">
            <v>D-SNGA</v>
          </cell>
          <cell r="B502" t="str">
            <v>VAR_fout</v>
          </cell>
          <cell r="C502" t="str">
            <v>CO2</v>
          </cell>
          <cell r="D502">
            <v>1537.95890866073</v>
          </cell>
          <cell r="E502">
            <v>1510.5078021797899</v>
          </cell>
          <cell r="F502">
            <v>1402.0948018409699</v>
          </cell>
          <cell r="G502">
            <v>1097.7432635274099</v>
          </cell>
          <cell r="H502">
            <v>834.86501578619198</v>
          </cell>
          <cell r="I502">
            <v>543.00896231093202</v>
          </cell>
          <cell r="J502">
            <v>263.70548510773102</v>
          </cell>
        </row>
        <row r="503">
          <cell r="A503" t="str">
            <v>D-SNGA</v>
          </cell>
          <cell r="B503" t="str">
            <v>VAR_fout</v>
          </cell>
          <cell r="C503" t="str">
            <v>SNGA</v>
          </cell>
          <cell r="D503">
            <v>27.481314450275502</v>
          </cell>
          <cell r="E503">
            <v>28.488462048411687</v>
          </cell>
          <cell r="F503">
            <v>25.513533100884118</v>
          </cell>
          <cell r="G503">
            <v>20.120063683144217</v>
          </cell>
          <cell r="H503">
            <v>15.462820983186859</v>
          </cell>
          <cell r="I503">
            <v>11.242040823696239</v>
          </cell>
          <cell r="J503">
            <v>7.2065225099801955</v>
          </cell>
        </row>
        <row r="504">
          <cell r="A504" t="str">
            <v>D-SNGA</v>
          </cell>
          <cell r="B504" t="str">
            <v>VAR_fout</v>
          </cell>
          <cell r="C504" t="str">
            <v>RSH2</v>
          </cell>
          <cell r="G504">
            <v>3.5615311531140288E-2</v>
          </cell>
          <cell r="H504">
            <v>3.0270575377137818E-2</v>
          </cell>
          <cell r="I504">
            <v>2.5125220766896123E-2</v>
          </cell>
          <cell r="J504">
            <v>1.5513765882720314E-2</v>
          </cell>
        </row>
        <row r="505">
          <cell r="A505" t="str">
            <v>D-SNGA</v>
          </cell>
          <cell r="B505" t="str">
            <v>VAR_fin</v>
          </cell>
          <cell r="C505" t="str">
            <v>NGA</v>
          </cell>
          <cell r="D505">
            <v>27.26877497625409</v>
          </cell>
          <cell r="E505">
            <v>26.782053230138036</v>
          </cell>
          <cell r="F505">
            <v>24.85983691207387</v>
          </cell>
          <cell r="G505">
            <v>19.46353304126616</v>
          </cell>
          <cell r="H505">
            <v>14.802571201882854</v>
          </cell>
          <cell r="I505">
            <v>9.62781848069028</v>
          </cell>
          <cell r="J505">
            <v>4.6756291685767861</v>
          </cell>
        </row>
        <row r="506">
          <cell r="A506" t="str">
            <v>D-SNGA</v>
          </cell>
          <cell r="B506" t="str">
            <v>VAR_fin</v>
          </cell>
          <cell r="C506" t="str">
            <v>BNGA</v>
          </cell>
          <cell r="D506">
            <v>0.30033181946995979</v>
          </cell>
          <cell r="E506">
            <v>1.7974186171672832</v>
          </cell>
          <cell r="F506">
            <v>0.73520222141499658</v>
          </cell>
          <cell r="G506">
            <v>0.72140289686061543</v>
          </cell>
          <cell r="H506">
            <v>0.70990859704857467</v>
          </cell>
          <cell r="I506">
            <v>1.6503659972371556</v>
          </cell>
          <cell r="J506">
            <v>2.5555947411727264</v>
          </cell>
        </row>
        <row r="507">
          <cell r="A507" t="str">
            <v>D-SNGA</v>
          </cell>
          <cell r="B507" t="str">
            <v>VAR_fin</v>
          </cell>
          <cell r="C507" t="str">
            <v>H2</v>
          </cell>
          <cell r="G507">
            <v>3.5588837948649373E-2</v>
          </cell>
          <cell r="H507">
            <v>3.0242251047196508E-2</v>
          </cell>
          <cell r="I507">
            <v>2.4998379325259446E-2</v>
          </cell>
          <cell r="J507">
            <v>1.5452002930860792E-2</v>
          </cell>
        </row>
        <row r="508">
          <cell r="A508" t="str">
            <v>D-SNGA</v>
          </cell>
          <cell r="B508" t="str">
            <v>VAR_ncap</v>
          </cell>
          <cell r="C508" t="str">
            <v>-</v>
          </cell>
          <cell r="D508">
            <v>2.2482027123936501E-4</v>
          </cell>
          <cell r="E508">
            <v>4.6381222786838498E-6</v>
          </cell>
          <cell r="F508">
            <v>7.6925504290318894E-6</v>
          </cell>
          <cell r="G508">
            <v>1.06650827800905E-5</v>
          </cell>
          <cell r="H508">
            <v>1.7687120010580299E-5</v>
          </cell>
          <cell r="I508">
            <v>1.5264873978039999E-5</v>
          </cell>
          <cell r="J508">
            <v>4.2695806898921401E-5</v>
          </cell>
        </row>
        <row r="509">
          <cell r="A509" t="str">
            <v>D-SNGA</v>
          </cell>
          <cell r="B509" t="str">
            <v>VAR_cap</v>
          </cell>
          <cell r="C509" t="str">
            <v>-</v>
          </cell>
          <cell r="D509">
            <v>2.2352770218963793</v>
          </cell>
          <cell r="E509">
            <v>2.235281660018658</v>
          </cell>
          <cell r="F509">
            <v>2.2352893525690871</v>
          </cell>
          <cell r="G509">
            <v>2.2353000176518671</v>
          </cell>
          <cell r="H509">
            <v>2.235317704771878</v>
          </cell>
          <cell r="I509">
            <v>2.2353329696458561</v>
          </cell>
          <cell r="J509">
            <v>1.1212139663164746</v>
          </cell>
        </row>
        <row r="510">
          <cell r="A510" t="str">
            <v>D-IPLT</v>
          </cell>
          <cell r="B510" t="str">
            <v>VAR_fout</v>
          </cell>
          <cell r="C510" t="str">
            <v>IPLT</v>
          </cell>
          <cell r="D510">
            <v>0.62589701661237407</v>
          </cell>
          <cell r="E510">
            <v>0.73762225764574341</v>
          </cell>
          <cell r="F510">
            <v>0.77787246306873914</v>
          </cell>
          <cell r="G510">
            <v>0.80006448650634476</v>
          </cell>
          <cell r="H510">
            <v>0.7986271678501381</v>
          </cell>
          <cell r="I510">
            <v>0.79716085850232588</v>
          </cell>
          <cell r="J510">
            <v>0.79392216964138729</v>
          </cell>
        </row>
        <row r="511">
          <cell r="A511" t="str">
            <v>D-IPLT</v>
          </cell>
          <cell r="B511" t="str">
            <v>VAR_fin</v>
          </cell>
          <cell r="C511" t="str">
            <v>PLT</v>
          </cell>
          <cell r="D511">
            <v>0.62589701661237407</v>
          </cell>
          <cell r="E511">
            <v>0.73762225764574341</v>
          </cell>
          <cell r="F511">
            <v>0.77787246306873914</v>
          </cell>
          <cell r="G511">
            <v>0.80006448650634476</v>
          </cell>
          <cell r="H511">
            <v>0.7986271678501381</v>
          </cell>
          <cell r="I511">
            <v>0.79716085850232588</v>
          </cell>
          <cell r="J511">
            <v>0.79392216964138729</v>
          </cell>
        </row>
        <row r="512">
          <cell r="A512" t="str">
            <v>ITOT-SWHWODBR</v>
          </cell>
          <cell r="B512" t="str">
            <v>VAR_fout</v>
          </cell>
          <cell r="C512" t="str">
            <v>ITOT-SWH</v>
          </cell>
          <cell r="D512">
            <v>5.3112538801372393</v>
          </cell>
          <cell r="E512">
            <v>6.2669954666482779</v>
          </cell>
          <cell r="F512">
            <v>6.0030768912076287</v>
          </cell>
          <cell r="G512">
            <v>7.0120500285676695</v>
          </cell>
          <cell r="H512">
            <v>7.6582379230636395</v>
          </cell>
          <cell r="I512">
            <v>6.7670850795876563</v>
          </cell>
          <cell r="J512">
            <v>8.484130257370472</v>
          </cell>
        </row>
        <row r="513">
          <cell r="A513" t="str">
            <v>ITOT-SWHWODBR</v>
          </cell>
          <cell r="B513" t="str">
            <v>VAR_fin</v>
          </cell>
          <cell r="C513" t="str">
            <v>IWOD</v>
          </cell>
          <cell r="D513">
            <v>9.0021252205715907</v>
          </cell>
          <cell r="E513">
            <v>10.610037471752165</v>
          </cell>
          <cell r="F513">
            <v>10.146045449928391</v>
          </cell>
          <cell r="G513">
            <v>11.818061845900582</v>
          </cell>
          <cell r="H513">
            <v>12.870988105989328</v>
          </cell>
          <cell r="I513">
            <v>11.341483373610588</v>
          </cell>
          <cell r="J513">
            <v>14.14021709561745</v>
          </cell>
        </row>
        <row r="514">
          <cell r="A514" t="str">
            <v>ITOT-SWHWODBR</v>
          </cell>
          <cell r="B514" t="str">
            <v>VAR_fin</v>
          </cell>
          <cell r="C514" t="str">
            <v>ITOTWODBRC</v>
          </cell>
          <cell r="D514">
            <v>5.3112538801372393</v>
          </cell>
          <cell r="E514">
            <v>6.2669954666482779</v>
          </cell>
          <cell r="F514">
            <v>6.0030768912076287</v>
          </cell>
          <cell r="G514">
            <v>7.0120500285676695</v>
          </cell>
          <cell r="H514">
            <v>7.6582379230636395</v>
          </cell>
          <cell r="I514">
            <v>6.7670850795876563</v>
          </cell>
          <cell r="J514">
            <v>8.484130257370472</v>
          </cell>
        </row>
        <row r="515">
          <cell r="A515" t="str">
            <v>ITOT-SWHWODBR</v>
          </cell>
          <cell r="B515" t="str">
            <v>VAR_ncap</v>
          </cell>
          <cell r="C515" t="str">
            <v>-</v>
          </cell>
          <cell r="E515">
            <v>6.3610202414609796E-2</v>
          </cell>
          <cell r="F515">
            <v>8.6345801411765594E-3</v>
          </cell>
          <cell r="G515">
            <v>3.6145781269546699E-2</v>
          </cell>
          <cell r="H515">
            <v>0.29106203885725301</v>
          </cell>
          <cell r="I515">
            <v>0.168280457123475</v>
          </cell>
          <cell r="J515">
            <v>0.332192328463149</v>
          </cell>
        </row>
        <row r="516">
          <cell r="A516" t="str">
            <v>ITOT-SWHWODBR</v>
          </cell>
          <cell r="B516" t="str">
            <v>VAR_cap</v>
          </cell>
          <cell r="C516" t="str">
            <v>-</v>
          </cell>
          <cell r="D516">
            <v>0.28883369534761499</v>
          </cell>
          <cell r="E516">
            <v>0.35240362414318316</v>
          </cell>
          <cell r="F516">
            <v>0.36089397121930999</v>
          </cell>
          <cell r="G516">
            <v>0.39678254150031977</v>
          </cell>
          <cell r="H516">
            <v>0.44235244097533616</v>
          </cell>
          <cell r="I516">
            <v>0.48425973877798723</v>
          </cell>
          <cell r="J516">
            <v>0.57647280824812142</v>
          </cell>
        </row>
        <row r="517">
          <cell r="A517" t="str">
            <v>D-ITOT_KEV_WOD_ELC_CHP</v>
          </cell>
          <cell r="B517" t="str">
            <v>VAR_fout</v>
          </cell>
          <cell r="C517" t="str">
            <v>ITOT_ELC</v>
          </cell>
          <cell r="D517">
            <v>6.2673416649148784E-3</v>
          </cell>
          <cell r="E517">
            <v>2.8442071696948693E-3</v>
          </cell>
          <cell r="F517">
            <v>5.0070988156953478E-3</v>
          </cell>
          <cell r="G517">
            <v>3.6224152471173422E-2</v>
          </cell>
          <cell r="H517">
            <v>3.1431030619815212</v>
          </cell>
          <cell r="I517">
            <v>3.4430835574100787</v>
          </cell>
          <cell r="J517">
            <v>3.6931682317537868</v>
          </cell>
        </row>
        <row r="518">
          <cell r="A518" t="str">
            <v>D-ITOT_KEV_WOD_ELC_CHP</v>
          </cell>
          <cell r="B518" t="str">
            <v>VAR_fout</v>
          </cell>
          <cell r="C518" t="str">
            <v>ELC5</v>
          </cell>
          <cell r="D518">
            <v>0.16629373064756386</v>
          </cell>
          <cell r="E518">
            <v>0.39983733655994019</v>
          </cell>
          <cell r="F518">
            <v>1.2457857110923618</v>
          </cell>
          <cell r="G518">
            <v>2.5077545963339007</v>
          </cell>
          <cell r="H518">
            <v>4.935878322346731E-2</v>
          </cell>
          <cell r="I518">
            <v>9.6969685513216386E-2</v>
          </cell>
          <cell r="J518">
            <v>8.5255368856456529E-2</v>
          </cell>
        </row>
        <row r="519">
          <cell r="A519" t="str">
            <v>D-ITOT_KEV_WOD_ELC_CHP</v>
          </cell>
          <cell r="B519" t="str">
            <v>VAR_fin</v>
          </cell>
          <cell r="C519" t="str">
            <v>ITOT_KEV_WOD_ELC_CHP</v>
          </cell>
          <cell r="D519">
            <v>0.17256107231247877</v>
          </cell>
          <cell r="E519">
            <v>0.40268154372963511</v>
          </cell>
          <cell r="F519">
            <v>1.2506960614241154</v>
          </cell>
          <cell r="G519">
            <v>2.5438574257938686</v>
          </cell>
          <cell r="H519">
            <v>3.1921791826513326</v>
          </cell>
          <cell r="I519">
            <v>3.5400532429232965</v>
          </cell>
          <cell r="J519">
            <v>3.7784236006102443</v>
          </cell>
        </row>
        <row r="520">
          <cell r="A520" t="str">
            <v>RHEM-SHSTG-SOL</v>
          </cell>
          <cell r="B520" t="str">
            <v>VAR_fout</v>
          </cell>
          <cell r="C520" t="str">
            <v>RHEM-SHASOL</v>
          </cell>
          <cell r="D520">
            <v>7.3358778608247646E-2</v>
          </cell>
          <cell r="E520">
            <v>7.1651632838766605E-2</v>
          </cell>
          <cell r="F520">
            <v>4.0168038328676397E-3</v>
          </cell>
          <cell r="G520">
            <v>4.8790332629257537E-3</v>
          </cell>
          <cell r="H520">
            <v>5.2731862580895307E-3</v>
          </cell>
          <cell r="I520">
            <v>2.7979259442723688E-3</v>
          </cell>
          <cell r="J520">
            <v>2.2363758794890017E-3</v>
          </cell>
        </row>
        <row r="521">
          <cell r="A521" t="str">
            <v>RHEM-SHSTG-SOL</v>
          </cell>
          <cell r="B521" t="str">
            <v>VAR_fout</v>
          </cell>
          <cell r="C521" t="str">
            <v>AUX_RHEM-SHSTG-SOL_OUT</v>
          </cell>
          <cell r="D521">
            <v>7.3432137386855889E-2</v>
          </cell>
          <cell r="E521">
            <v>7.1723284471605406E-2</v>
          </cell>
          <cell r="F521">
            <v>4.020820636700507E-3</v>
          </cell>
          <cell r="G521">
            <v>4.8839122961886767E-3</v>
          </cell>
          <cell r="H521">
            <v>5.2784594443476178E-3</v>
          </cell>
          <cell r="I521">
            <v>2.8007238702166411E-3</v>
          </cell>
          <cell r="J521">
            <v>2.2386122553684912E-3</v>
          </cell>
        </row>
        <row r="522">
          <cell r="A522" t="str">
            <v>RHEM-SHSTG-SOL</v>
          </cell>
          <cell r="B522" t="str">
            <v>VAR_fin</v>
          </cell>
          <cell r="C522" t="str">
            <v>RHEM-SHASOL</v>
          </cell>
          <cell r="D522">
            <v>7.3303840375356477E-2</v>
          </cell>
          <cell r="E522">
            <v>7.1716549509488664E-2</v>
          </cell>
          <cell r="F522">
            <v>4.0833570583077598E-3</v>
          </cell>
          <cell r="G522">
            <v>4.834118927711289E-3</v>
          </cell>
          <cell r="H522">
            <v>5.2441828715908021E-3</v>
          </cell>
          <cell r="I522">
            <v>2.7640561704652799E-3</v>
          </cell>
          <cell r="J522">
            <v>2.1896486772240843E-3</v>
          </cell>
        </row>
        <row r="523">
          <cell r="A523" t="str">
            <v>RHEM-SHSTG-SOL</v>
          </cell>
          <cell r="B523" t="str">
            <v>VAR_ncap</v>
          </cell>
          <cell r="C523" t="str">
            <v>-</v>
          </cell>
          <cell r="D523">
            <v>1.6181552253836599E-2</v>
          </cell>
          <cell r="E523">
            <v>3.0049600915361799E-5</v>
          </cell>
          <cell r="F523">
            <v>8.4973358765617608E-6</v>
          </cell>
          <cell r="G523">
            <v>1.23656313795439E-5</v>
          </cell>
          <cell r="H523">
            <v>5.5148575142697403E-4</v>
          </cell>
          <cell r="I523">
            <v>3.2167499352868698E-4</v>
          </cell>
          <cell r="J523">
            <v>2.08923171587215E-4</v>
          </cell>
        </row>
        <row r="524">
          <cell r="A524" t="str">
            <v>RHEM-SHSTG-SOL</v>
          </cell>
          <cell r="B524" t="str">
            <v>VAR_cap</v>
          </cell>
          <cell r="C524" t="str">
            <v>-</v>
          </cell>
          <cell r="D524">
            <v>1.6181552253836599E-2</v>
          </cell>
          <cell r="E524">
            <v>1.6211601854752001E-2</v>
          </cell>
          <cell r="F524">
            <v>1.6220099190628601E-2</v>
          </cell>
          <cell r="G524">
            <v>1.6232464822008099E-2</v>
          </cell>
          <cell r="H524">
            <v>4.7841794585559002E-3</v>
          </cell>
          <cell r="I524">
            <v>8.8311136637119099E-4</v>
          </cell>
          <cell r="J524">
            <v>6.7564902132919195E-4</v>
          </cell>
        </row>
        <row r="525">
          <cell r="A525" t="str">
            <v>ITOT-SWHCONBR10</v>
          </cell>
          <cell r="B525" t="str">
            <v>VAR_fout</v>
          </cell>
          <cell r="C525" t="str">
            <v>ITOT-ELS</v>
          </cell>
          <cell r="J525">
            <v>4.2186310097517497E-4</v>
          </cell>
        </row>
        <row r="526">
          <cell r="A526" t="str">
            <v>ITOT-SWHCONBR10</v>
          </cell>
          <cell r="B526" t="str">
            <v>VAR_fout</v>
          </cell>
          <cell r="C526" t="str">
            <v>ITOT-SWHC</v>
          </cell>
          <cell r="J526">
            <v>2.5978769294049413E-3</v>
          </cell>
        </row>
        <row r="527">
          <cell r="A527" t="str">
            <v>ITOT-SWHCONBR10</v>
          </cell>
          <cell r="B527" t="str">
            <v>VAR_fin</v>
          </cell>
          <cell r="C527" t="str">
            <v>CON</v>
          </cell>
          <cell r="J527">
            <v>3.0197400303801167E-3</v>
          </cell>
        </row>
        <row r="528">
          <cell r="A528" t="str">
            <v>ITOT-SWHCONBR10</v>
          </cell>
          <cell r="B528" t="str">
            <v>VAR_ncap</v>
          </cell>
          <cell r="C528" t="str">
            <v>-</v>
          </cell>
          <cell r="J528">
            <v>1.49912523759921E-4</v>
          </cell>
        </row>
        <row r="529">
          <cell r="A529" t="str">
            <v>ITOT-SWHCONBR10</v>
          </cell>
          <cell r="B529" t="str">
            <v>VAR_cap</v>
          </cell>
          <cell r="C529" t="str">
            <v>-</v>
          </cell>
          <cell r="J529">
            <v>1.49912523759921E-4</v>
          </cell>
        </row>
        <row r="530">
          <cell r="A530" t="str">
            <v>SCOM-SHSTG</v>
          </cell>
          <cell r="B530" t="str">
            <v>VAR_fout</v>
          </cell>
          <cell r="C530" t="str">
            <v>AUX_SCOM-SHSTG_OUT</v>
          </cell>
          <cell r="D530">
            <v>1.3468601258959307E-4</v>
          </cell>
          <cell r="E530">
            <v>4.8544006715481366E-3</v>
          </cell>
          <cell r="F530">
            <v>5.7418905256883244E-4</v>
          </cell>
          <cell r="G530">
            <v>7.1381415167526415E-4</v>
          </cell>
          <cell r="H530">
            <v>6.9085422402984651E-4</v>
          </cell>
          <cell r="I530">
            <v>9.3983094000528304E-4</v>
          </cell>
          <cell r="J530">
            <v>1.8537358179393677E-2</v>
          </cell>
        </row>
        <row r="531">
          <cell r="A531" t="str">
            <v>SCOM-SHSTG</v>
          </cell>
          <cell r="B531" t="str">
            <v>VAR_fout</v>
          </cell>
          <cell r="C531" t="str">
            <v>SCOM-SHD</v>
          </cell>
          <cell r="D531">
            <v>1.346860125895932E-4</v>
          </cell>
          <cell r="E531">
            <v>4.8583685086232313E-3</v>
          </cell>
          <cell r="F531">
            <v>5.7492237192077137E-4</v>
          </cell>
          <cell r="G531">
            <v>7.1381415167526339E-4</v>
          </cell>
          <cell r="H531">
            <v>6.916226936895017E-4</v>
          </cell>
          <cell r="I531">
            <v>9.3983094000528217E-4</v>
          </cell>
          <cell r="J531">
            <v>1.8537358179393677E-2</v>
          </cell>
        </row>
        <row r="532">
          <cell r="A532" t="str">
            <v>SCOM-SHSTG</v>
          </cell>
          <cell r="B532" t="str">
            <v>VAR_fin</v>
          </cell>
          <cell r="C532" t="str">
            <v>AUX_SCOM-SHSTG_IN</v>
          </cell>
          <cell r="D532">
            <v>1.7448724083704329E-4</v>
          </cell>
          <cell r="E532">
            <v>5.9262266494832351E-3</v>
          </cell>
          <cell r="F532">
            <v>6.9722365153489132E-4</v>
          </cell>
          <cell r="G532">
            <v>8.3309038923841438E-4</v>
          </cell>
          <cell r="H532">
            <v>7.8133192954144026E-4</v>
          </cell>
          <cell r="I532">
            <v>1.0218146917776541E-3</v>
          </cell>
          <cell r="J532">
            <v>1.8729622734553523E-2</v>
          </cell>
        </row>
        <row r="533">
          <cell r="A533" t="str">
            <v>SCOM-SHSTG</v>
          </cell>
          <cell r="B533" t="str">
            <v>VAR_fin</v>
          </cell>
          <cell r="C533" t="str">
            <v>SCOM-SHD</v>
          </cell>
          <cell r="D533">
            <v>1.7448724083704329E-4</v>
          </cell>
          <cell r="E533">
            <v>5.9262266494832351E-3</v>
          </cell>
          <cell r="F533">
            <v>6.9722365153489132E-4</v>
          </cell>
          <cell r="G533">
            <v>8.3309038923841438E-4</v>
          </cell>
          <cell r="H533">
            <v>7.8133192954144026E-4</v>
          </cell>
          <cell r="I533">
            <v>1.0218146917776541E-3</v>
          </cell>
          <cell r="J533">
            <v>1.8729622734553523E-2</v>
          </cell>
        </row>
        <row r="534">
          <cell r="A534" t="str">
            <v>SCOM-SHSTG</v>
          </cell>
          <cell r="B534" t="str">
            <v>VAR_ncap</v>
          </cell>
          <cell r="C534" t="str">
            <v>-</v>
          </cell>
          <cell r="D534">
            <v>1.33248931117781E-2</v>
          </cell>
          <cell r="E534">
            <v>1.5572748886636201E-4</v>
          </cell>
          <cell r="F534">
            <v>1.17371199544797E-4</v>
          </cell>
          <cell r="G534">
            <v>6.8013144059739006E-5</v>
          </cell>
          <cell r="H534">
            <v>3.3123262884855401E-3</v>
          </cell>
          <cell r="I534">
            <v>6.57501044140357E-3</v>
          </cell>
          <cell r="J534">
            <v>8.3222479821614802E-3</v>
          </cell>
        </row>
        <row r="535">
          <cell r="A535" t="str">
            <v>SCOM-SHSTG</v>
          </cell>
          <cell r="B535" t="str">
            <v>VAR_cap</v>
          </cell>
          <cell r="C535" t="str">
            <v>-</v>
          </cell>
          <cell r="D535">
            <v>1.33248931117781E-2</v>
          </cell>
          <cell r="E535">
            <v>1.345150005864237E-2</v>
          </cell>
          <cell r="F535">
            <v>1.3528126415882843E-2</v>
          </cell>
          <cell r="G535">
            <v>1.3557655057239298E-2</v>
          </cell>
          <cell r="H535">
            <v>1.6764899143774683E-2</v>
          </cell>
          <cell r="I535">
            <v>1.4579100808731852E-2</v>
          </cell>
          <cell r="J535">
            <v>1.7428849467481775E-2</v>
          </cell>
        </row>
        <row r="536">
          <cell r="A536" t="str">
            <v>D-ITOT_KEV_HFC_ELC_CHP</v>
          </cell>
          <cell r="B536" t="str">
            <v>VAR_fout</v>
          </cell>
          <cell r="C536" t="str">
            <v>ITOT_ELC</v>
          </cell>
          <cell r="H536">
            <v>8.4766957663823264E-2</v>
          </cell>
          <cell r="I536">
            <v>0.14481993369140833</v>
          </cell>
          <cell r="J536">
            <v>0.28129284409111549</v>
          </cell>
        </row>
        <row r="537">
          <cell r="A537" t="str">
            <v>D-ITOT_KEV_HFC_ELC_CHP</v>
          </cell>
          <cell r="B537" t="str">
            <v>VAR_fout</v>
          </cell>
          <cell r="C537" t="str">
            <v>ELC5</v>
          </cell>
          <cell r="H537">
            <v>3.1392711046667209E-2</v>
          </cell>
          <cell r="I537">
            <v>4.698849582995674E-2</v>
          </cell>
          <cell r="J537">
            <v>4.9655981650027714E-2</v>
          </cell>
        </row>
        <row r="538">
          <cell r="A538" t="str">
            <v>D-ITOT_KEV_HFC_ELC_CHP</v>
          </cell>
          <cell r="B538" t="str">
            <v>VAR_fin</v>
          </cell>
          <cell r="C538" t="str">
            <v>ITOT_KEV_HFC_ELC_CHP</v>
          </cell>
          <cell r="H538">
            <v>0.11586558891853782</v>
          </cell>
          <cell r="I538">
            <v>0.19162504496075325</v>
          </cell>
          <cell r="J538">
            <v>0.33081662603719197</v>
          </cell>
        </row>
        <row r="539">
          <cell r="A539" t="str">
            <v>D-RNGA</v>
          </cell>
          <cell r="B539" t="str">
            <v>VAR_fout</v>
          </cell>
          <cell r="C539" t="str">
            <v>CO2</v>
          </cell>
          <cell r="D539">
            <v>2686.29232035222</v>
          </cell>
          <cell r="E539">
            <v>2605.0618149319198</v>
          </cell>
          <cell r="F539">
            <v>2636.0764012387099</v>
          </cell>
          <cell r="G539">
            <v>2157.9838635814299</v>
          </cell>
          <cell r="H539">
            <v>1659.4374674758701</v>
          </cell>
          <cell r="I539">
            <v>1057.6162876262599</v>
          </cell>
          <cell r="J539">
            <v>635.81364064013098</v>
          </cell>
        </row>
        <row r="540">
          <cell r="A540" t="str">
            <v>D-RNGA</v>
          </cell>
          <cell r="B540" t="str">
            <v>VAR_fout</v>
          </cell>
          <cell r="C540" t="str">
            <v>RNGA</v>
          </cell>
          <cell r="D540">
            <v>47.78066398916684</v>
          </cell>
          <cell r="E540">
            <v>48.283682865512411</v>
          </cell>
          <cell r="F540">
            <v>47.460370951729558</v>
          </cell>
          <cell r="G540">
            <v>39.099934607424856</v>
          </cell>
          <cell r="H540">
            <v>30.301154190359281</v>
          </cell>
          <cell r="I540">
            <v>21.806504233273397</v>
          </cell>
          <cell r="J540">
            <v>14.838894287435116</v>
          </cell>
        </row>
        <row r="541">
          <cell r="A541" t="str">
            <v>D-RNGA</v>
          </cell>
          <cell r="B541" t="str">
            <v>VAR_fout</v>
          </cell>
          <cell r="C541" t="str">
            <v>RSH2</v>
          </cell>
          <cell r="G541">
            <v>4.2346506482894543E-2</v>
          </cell>
          <cell r="H541">
            <v>4.4403568076779552E-2</v>
          </cell>
          <cell r="I541">
            <v>5.4321789831727821E-2</v>
          </cell>
          <cell r="J541">
            <v>3.6990610505636727E-2</v>
          </cell>
        </row>
        <row r="542">
          <cell r="A542" t="str">
            <v>D-RNGA</v>
          </cell>
          <cell r="B542" t="str">
            <v>VAR_fin</v>
          </cell>
          <cell r="C542" t="str">
            <v>NGA</v>
          </cell>
          <cell r="D542">
            <v>47.629296460145738</v>
          </cell>
          <cell r="E542">
            <v>46.18903927184266</v>
          </cell>
          <cell r="F542">
            <v>46.738943284374216</v>
          </cell>
          <cell r="G542">
            <v>38.262125240805588</v>
          </cell>
          <cell r="H542">
            <v>29.42265013255092</v>
          </cell>
          <cell r="I542">
            <v>18.752061837345039</v>
          </cell>
          <cell r="J542">
            <v>11.273291500711549</v>
          </cell>
        </row>
        <row r="543">
          <cell r="A543" t="str">
            <v>D-RNGA</v>
          </cell>
          <cell r="B543" t="str">
            <v>VAR_fin</v>
          </cell>
          <cell r="C543" t="str">
            <v>BNGA</v>
          </cell>
          <cell r="D543">
            <v>0.30400857413150201</v>
          </cell>
          <cell r="E543">
            <v>2.2488915927357054</v>
          </cell>
          <cell r="F543">
            <v>0.87304549805444343</v>
          </cell>
          <cell r="G543">
            <v>0.96348454954207119</v>
          </cell>
          <cell r="H543">
            <v>0.97572603226075039</v>
          </cell>
          <cell r="I543">
            <v>3.1245230681570666</v>
          </cell>
          <cell r="J543">
            <v>3.6148515378167376</v>
          </cell>
        </row>
        <row r="544">
          <cell r="A544" t="str">
            <v>D-RNGA</v>
          </cell>
          <cell r="B544" t="str">
            <v>VAR_fin</v>
          </cell>
          <cell r="C544" t="str">
            <v>H2</v>
          </cell>
          <cell r="G544">
            <v>4.232757097861288E-2</v>
          </cell>
          <cell r="H544">
            <v>4.437524374684168E-2</v>
          </cell>
          <cell r="I544">
            <v>5.4296772153765625E-2</v>
          </cell>
          <cell r="J544">
            <v>3.6939966380338522E-2</v>
          </cell>
        </row>
        <row r="545">
          <cell r="A545" t="str">
            <v>D-RNGA</v>
          </cell>
          <cell r="B545" t="str">
            <v>VAR_ncap</v>
          </cell>
          <cell r="C545" t="str">
            <v>-</v>
          </cell>
          <cell r="D545">
            <v>1.4108689698768901E-5</v>
          </cell>
          <cell r="E545">
            <v>2.00863194670824E-6</v>
          </cell>
          <cell r="F545">
            <v>2.4428176174718799E-6</v>
          </cell>
          <cell r="G545">
            <v>2.0258802884127202E-6</v>
          </cell>
          <cell r="H545">
            <v>3.2806967102163999E-6</v>
          </cell>
          <cell r="I545">
            <v>4.0993302161479303E-6</v>
          </cell>
          <cell r="J545">
            <v>7.0078713760835503E-6</v>
          </cell>
        </row>
        <row r="546">
          <cell r="A546" t="str">
            <v>D-RNGA</v>
          </cell>
          <cell r="B546" t="str">
            <v>VAR_cap</v>
          </cell>
          <cell r="C546" t="str">
            <v>-</v>
          </cell>
          <cell r="D546">
            <v>3.0972541160856188</v>
          </cell>
          <cell r="E546">
            <v>3.0972561247175654</v>
          </cell>
          <cell r="F546">
            <v>3.0972585675351829</v>
          </cell>
          <cell r="G546">
            <v>3.0972605934154713</v>
          </cell>
          <cell r="H546">
            <v>3.0972638741121816</v>
          </cell>
          <cell r="I546">
            <v>3.0972679734423978</v>
          </cell>
          <cell r="J546">
            <v>1.5533172219540738</v>
          </cell>
        </row>
        <row r="547">
          <cell r="A547" t="str">
            <v>RHNS-SHLTHCHPNGA</v>
          </cell>
          <cell r="B547" t="str">
            <v>VAR_fout</v>
          </cell>
          <cell r="C547" t="str">
            <v>RHNS-SHLTHC-NGA</v>
          </cell>
          <cell r="E547">
            <v>1.0432844538870549E-3</v>
          </cell>
        </row>
        <row r="548">
          <cell r="A548" t="str">
            <v>RHNS-SHLTHCHPNGA</v>
          </cell>
          <cell r="B548" t="str">
            <v>VAR_fin</v>
          </cell>
          <cell r="C548" t="str">
            <v>RHNSLTHCHPC</v>
          </cell>
          <cell r="E548">
            <v>1.0432844538870549E-3</v>
          </cell>
        </row>
        <row r="549">
          <cell r="A549" t="str">
            <v>RHNS-SHLTHCHPNGA</v>
          </cell>
          <cell r="B549" t="str">
            <v>VAR_fin</v>
          </cell>
          <cell r="C549" t="str">
            <v>RHNS_LTH_CHPNGA_ON</v>
          </cell>
          <cell r="E549">
            <v>1.0538226806939947E-3</v>
          </cell>
        </row>
        <row r="550">
          <cell r="A550" t="str">
            <v>RHNS-SHLTHCHPNGA</v>
          </cell>
          <cell r="B550" t="str">
            <v>VAR_ncap</v>
          </cell>
          <cell r="C550" t="str">
            <v>-</v>
          </cell>
          <cell r="E550">
            <v>1.94889264499576E-3</v>
          </cell>
          <cell r="F550">
            <v>1.05439635500703E-3</v>
          </cell>
          <cell r="G550">
            <v>8.7430249991572999E-4</v>
          </cell>
          <cell r="H550">
            <v>8.7442459672771396E-4</v>
          </cell>
          <cell r="I550">
            <v>3.5832630506975598E-4</v>
          </cell>
          <cell r="J550">
            <v>4.0879408892961602E-7</v>
          </cell>
        </row>
        <row r="551">
          <cell r="A551" t="str">
            <v>RHNS-SHLTHCHPNGA</v>
          </cell>
          <cell r="B551" t="str">
            <v>VAR_cap</v>
          </cell>
          <cell r="C551" t="str">
            <v>-</v>
          </cell>
          <cell r="E551">
            <v>1.94889264499576E-3</v>
          </cell>
          <cell r="F551">
            <v>1.6201274021867499E-3</v>
          </cell>
          <cell r="G551">
            <v>1.6019909016998699E-3</v>
          </cell>
          <cell r="H551">
            <v>1.5483914432104203E-3</v>
          </cell>
          <cell r="I551">
            <v>7.1167049510542017E-4</v>
          </cell>
        </row>
        <row r="552">
          <cell r="A552" t="str">
            <v>D-SCOM_KEV_BIO_ELC_CHP</v>
          </cell>
          <cell r="B552" t="str">
            <v>VAR_fout</v>
          </cell>
          <cell r="C552" t="str">
            <v>ELC5</v>
          </cell>
          <cell r="D552">
            <v>0.95521458984704222</v>
          </cell>
          <cell r="E552">
            <v>1.1046727851534146</v>
          </cell>
          <cell r="F552">
            <v>1.1041945912745086</v>
          </cell>
          <cell r="G552">
            <v>1.0980520890224295</v>
          </cell>
          <cell r="H552">
            <v>2.009172817189122E-2</v>
          </cell>
          <cell r="I552">
            <v>1.9127998059814147E-2</v>
          </cell>
          <cell r="J552">
            <v>1.2003225798815107E-2</v>
          </cell>
        </row>
        <row r="553">
          <cell r="A553" t="str">
            <v>D-SCOM_KEV_BIO_ELC_CHP</v>
          </cell>
          <cell r="B553" t="str">
            <v>VAR_fout</v>
          </cell>
          <cell r="C553" t="str">
            <v>SCOM_ELC</v>
          </cell>
          <cell r="D553">
            <v>4.2250166473882583E-3</v>
          </cell>
          <cell r="E553">
            <v>1.7629779982819152E-3</v>
          </cell>
          <cell r="F553">
            <v>2.2576924288426723E-3</v>
          </cell>
          <cell r="G553">
            <v>8.865960914429389E-3</v>
          </cell>
          <cell r="H553">
            <v>1.0881831121418779</v>
          </cell>
          <cell r="I553">
            <v>1.0890644954394417</v>
          </cell>
          <cell r="J553">
            <v>1.0961235073803794</v>
          </cell>
        </row>
        <row r="554">
          <cell r="A554" t="str">
            <v>D-SCOM_KEV_BIO_ELC_CHP</v>
          </cell>
          <cell r="B554" t="str">
            <v>VAR_fin</v>
          </cell>
          <cell r="C554" t="str">
            <v>SCOM_KEV_BIO_ELC_CHP</v>
          </cell>
          <cell r="D554">
            <v>0.95943960649442961</v>
          </cell>
          <cell r="E554">
            <v>1.1064357631516968</v>
          </cell>
          <cell r="F554">
            <v>1.1064075775951663</v>
          </cell>
          <cell r="G554">
            <v>1.1068242607460734</v>
          </cell>
          <cell r="H554">
            <v>1.1080079178808893</v>
          </cell>
          <cell r="I554">
            <v>1.107972605468118</v>
          </cell>
          <cell r="J554">
            <v>1.1079584862615972</v>
          </cell>
        </row>
        <row r="555">
          <cell r="A555" t="str">
            <v>RHES-SHLTHCHPWOD</v>
          </cell>
          <cell r="B555" t="str">
            <v>VAR_ncap</v>
          </cell>
          <cell r="C555" t="str">
            <v>-</v>
          </cell>
          <cell r="G555">
            <v>1.11414931634813E-4</v>
          </cell>
          <cell r="H555">
            <v>1.7166090516491499E-4</v>
          </cell>
          <cell r="I555">
            <v>1.05567842092404E-4</v>
          </cell>
          <cell r="J555">
            <v>5.4562236325062699E-5</v>
          </cell>
        </row>
        <row r="556">
          <cell r="A556" t="str">
            <v>RHES-SHLTHCHPWOD</v>
          </cell>
          <cell r="B556" t="str">
            <v>VAR_cap</v>
          </cell>
          <cell r="C556" t="str">
            <v>-</v>
          </cell>
          <cell r="G556">
            <v>1.11414931634813E-4</v>
          </cell>
          <cell r="H556">
            <v>2.247487853415233E-4</v>
          </cell>
          <cell r="I556">
            <v>1.9114705580800399E-4</v>
          </cell>
          <cell r="J556">
            <v>9.3004727702033986E-5</v>
          </cell>
        </row>
        <row r="557">
          <cell r="A557" t="str">
            <v>RHES-SHSTG-NGAHP</v>
          </cell>
          <cell r="B557" t="str">
            <v>VAR_fout</v>
          </cell>
          <cell r="C557" t="str">
            <v>RHES-SHANGAH</v>
          </cell>
          <cell r="F557">
            <v>0.13749490702781686</v>
          </cell>
          <cell r="G557">
            <v>0.53451817473659646</v>
          </cell>
          <cell r="H557">
            <v>0.47227537573571809</v>
          </cell>
          <cell r="I557">
            <v>0.64099887601412464</v>
          </cell>
          <cell r="J557">
            <v>0.60084871690936692</v>
          </cell>
        </row>
        <row r="558">
          <cell r="A558" t="str">
            <v>RHES-SHSTG-NGAHP</v>
          </cell>
          <cell r="B558" t="str">
            <v>VAR_fout</v>
          </cell>
          <cell r="C558" t="str">
            <v>AUX_RHES-SHSTG-NGAHP_OUT</v>
          </cell>
          <cell r="F558">
            <v>0.13763240193484463</v>
          </cell>
          <cell r="G558">
            <v>0.53505269291133306</v>
          </cell>
          <cell r="H558">
            <v>0.47274765111145378</v>
          </cell>
          <cell r="I558">
            <v>0.64163987489013885</v>
          </cell>
          <cell r="J558">
            <v>0.60144956562627561</v>
          </cell>
        </row>
        <row r="559">
          <cell r="A559" t="str">
            <v>RHES-SHSTG-NGAHP</v>
          </cell>
          <cell r="B559" t="str">
            <v>VAR_fin</v>
          </cell>
          <cell r="C559" t="str">
            <v>RHES-SHANGAH</v>
          </cell>
          <cell r="F559">
            <v>0.13795136941662139</v>
          </cell>
          <cell r="G559">
            <v>0.5349045834894306</v>
          </cell>
          <cell r="H559">
            <v>0.47259895897509263</v>
          </cell>
          <cell r="I559">
            <v>0.64117705591333651</v>
          </cell>
          <cell r="J559">
            <v>0.60109351821868451</v>
          </cell>
        </row>
        <row r="560">
          <cell r="A560" t="str">
            <v>RHES-SHSTG-NGAHP</v>
          </cell>
          <cell r="B560" t="str">
            <v>VAR_ncap</v>
          </cell>
          <cell r="C560" t="str">
            <v>-</v>
          </cell>
          <cell r="D560">
            <v>1.79639506250459E-4</v>
          </cell>
          <cell r="E560">
            <v>1.8630445384515E-4</v>
          </cell>
          <cell r="F560">
            <v>3.2441775169316803E-2</v>
          </cell>
          <cell r="G560">
            <v>4.6358224183501898E-2</v>
          </cell>
          <cell r="H560">
            <v>1.5960771867157102E-2</v>
          </cell>
          <cell r="I560">
            <v>5.7197127410870602E-2</v>
          </cell>
          <cell r="J560">
            <v>5.3676160335146599E-2</v>
          </cell>
        </row>
        <row r="561">
          <cell r="A561" t="str">
            <v>RHES-SHSTG-NGAHP</v>
          </cell>
          <cell r="B561" t="str">
            <v>VAR_cap</v>
          </cell>
          <cell r="C561" t="str">
            <v>-</v>
          </cell>
          <cell r="D561">
            <v>1.79639506250459E-4</v>
          </cell>
          <cell r="E561">
            <v>1.260121945372098E-5</v>
          </cell>
          <cell r="F561">
            <v>3.2299313105841033E-2</v>
          </cell>
          <cell r="G561">
            <v>7.8418544976131196E-2</v>
          </cell>
          <cell r="H561">
            <v>9.3821810661020771E-2</v>
          </cell>
          <cell r="I561">
            <v>0.10951573590016075</v>
          </cell>
          <cell r="J561">
            <v>0.10129717538375189</v>
          </cell>
        </row>
        <row r="562">
          <cell r="A562" t="str">
            <v>D-RHNS_SOLELC</v>
          </cell>
          <cell r="B562" t="str">
            <v>VAR_fout</v>
          </cell>
          <cell r="C562" t="str">
            <v>RHNS_ELC</v>
          </cell>
          <cell r="E562">
            <v>4.4610573081826785E-4</v>
          </cell>
          <cell r="F562">
            <v>0.60449453601432079</v>
          </cell>
          <cell r="G562">
            <v>6.8087606650853862</v>
          </cell>
          <cell r="H562">
            <v>7.1544890477646437</v>
          </cell>
          <cell r="I562">
            <v>7.4365166149751278</v>
          </cell>
          <cell r="J562">
            <v>8.1112106834830744</v>
          </cell>
        </row>
        <row r="563">
          <cell r="A563" t="str">
            <v>D-RHNS_SOLELC</v>
          </cell>
          <cell r="B563" t="str">
            <v>VAR_fout</v>
          </cell>
          <cell r="C563" t="str">
            <v>ELC5</v>
          </cell>
          <cell r="E563">
            <v>4.2161160508669674E-4</v>
          </cell>
          <cell r="F563">
            <v>1.2037593434720842E-2</v>
          </cell>
          <cell r="G563">
            <v>9.8989616806791272E-3</v>
          </cell>
          <cell r="H563">
            <v>1.9972197810774563E-2</v>
          </cell>
          <cell r="I563">
            <v>6.8573214747798705E-2</v>
          </cell>
          <cell r="J563">
            <v>7.8933235753535461E-2</v>
          </cell>
        </row>
        <row r="564">
          <cell r="A564" t="str">
            <v>D-RHNS_SOLELC</v>
          </cell>
          <cell r="B564" t="str">
            <v>VAR_fin</v>
          </cell>
          <cell r="C564" t="str">
            <v>RHNS_SOL_ELC</v>
          </cell>
          <cell r="E564">
            <v>8.1350450122781083E-4</v>
          </cell>
          <cell r="F564">
            <v>0.61653212944904168</v>
          </cell>
          <cell r="G564">
            <v>6.8186596267660722</v>
          </cell>
          <cell r="H564">
            <v>7.174461245575424</v>
          </cell>
          <cell r="I564">
            <v>7.5050898297229294</v>
          </cell>
          <cell r="J564">
            <v>8.1901439192366112</v>
          </cell>
        </row>
        <row r="565">
          <cell r="A565" t="str">
            <v>D-IHFO</v>
          </cell>
          <cell r="B565" t="str">
            <v>VAR_fout</v>
          </cell>
          <cell r="C565" t="str">
            <v>CO2</v>
          </cell>
          <cell r="D565">
            <v>213.79241210908199</v>
          </cell>
          <cell r="E565">
            <v>212.85628720739001</v>
          </cell>
          <cell r="F565">
            <v>3.7172709845761398</v>
          </cell>
          <cell r="G565">
            <v>0.355862195401279</v>
          </cell>
          <cell r="H565">
            <v>4.9045550123723398</v>
          </cell>
          <cell r="I565">
            <v>0.47831390300676302</v>
          </cell>
        </row>
        <row r="566">
          <cell r="A566" t="str">
            <v>D-IHFO</v>
          </cell>
          <cell r="B566" t="str">
            <v>VAR_fout</v>
          </cell>
          <cell r="C566" t="str">
            <v>IHFO</v>
          </cell>
          <cell r="D566">
            <v>2.7301536321320046</v>
          </cell>
          <cell r="E566">
            <v>2.7181992097309959</v>
          </cell>
          <cell r="F566">
            <v>4.7469976974586547E-2</v>
          </cell>
          <cell r="G566">
            <v>4.5444010651676508E-3</v>
          </cell>
          <cell r="H566">
            <v>6.2631730232724711E-2</v>
          </cell>
          <cell r="I566">
            <v>6.1081234208015898E-3</v>
          </cell>
        </row>
        <row r="567">
          <cell r="A567" t="str">
            <v>D-IHFO</v>
          </cell>
          <cell r="B567" t="str">
            <v>VAR_fin</v>
          </cell>
          <cell r="C567" t="str">
            <v>HFO</v>
          </cell>
          <cell r="D567">
            <v>2.7765248325854821</v>
          </cell>
          <cell r="E567">
            <v>2.7643673663297474</v>
          </cell>
          <cell r="F567">
            <v>4.8276246552936893E-2</v>
          </cell>
          <cell r="G567">
            <v>4.6215869532633732E-3</v>
          </cell>
          <cell r="H567">
            <v>6.36955196411991E-2</v>
          </cell>
          <cell r="I567">
            <v>6.2118688702177049E-3</v>
          </cell>
        </row>
        <row r="568">
          <cell r="A568" t="str">
            <v>RHEM-SHCONBR</v>
          </cell>
          <cell r="B568" t="str">
            <v>VAR_fout</v>
          </cell>
          <cell r="C568" t="str">
            <v>RHEM-SHCON</v>
          </cell>
          <cell r="F568">
            <v>3.090154956480377E-3</v>
          </cell>
          <cell r="G568">
            <v>3.1290740586523095E-3</v>
          </cell>
          <cell r="H568">
            <v>6.4063680883185269E-3</v>
          </cell>
          <cell r="I568">
            <v>6.6772206513660117E-3</v>
          </cell>
          <cell r="J568">
            <v>1.7842475220026521E-2</v>
          </cell>
        </row>
        <row r="569">
          <cell r="A569" t="str">
            <v>RHEM-SHCONBR</v>
          </cell>
          <cell r="B569" t="str">
            <v>VAR_fin</v>
          </cell>
          <cell r="C569" t="str">
            <v>CON</v>
          </cell>
          <cell r="F569">
            <v>3.090154956480377E-3</v>
          </cell>
          <cell r="G569">
            <v>3.1290740586523095E-3</v>
          </cell>
          <cell r="H569">
            <v>6.4063680883185269E-3</v>
          </cell>
          <cell r="I569">
            <v>6.6772206513660117E-3</v>
          </cell>
          <cell r="J569">
            <v>1.7842475220026521E-2</v>
          </cell>
        </row>
        <row r="570">
          <cell r="A570" t="str">
            <v>RHEM-SHCONBR</v>
          </cell>
          <cell r="B570" t="str">
            <v>VAR_ncap</v>
          </cell>
          <cell r="C570" t="str">
            <v>-</v>
          </cell>
          <cell r="D570">
            <v>5.1617908917867904E-7</v>
          </cell>
          <cell r="E570">
            <v>1.13277595582835E-6</v>
          </cell>
          <cell r="F570">
            <v>2.3284643993833201E-4</v>
          </cell>
          <cell r="G570">
            <v>2.6434604579366802E-6</v>
          </cell>
          <cell r="H570">
            <v>2.5027600839206402E-4</v>
          </cell>
          <cell r="I570">
            <v>1.6651401362531901E-5</v>
          </cell>
          <cell r="J570">
            <v>7.7359151078663999E-4</v>
          </cell>
        </row>
        <row r="571">
          <cell r="A571" t="str">
            <v>RHEM-SHCONBR</v>
          </cell>
          <cell r="B571" t="str">
            <v>VAR_cap</v>
          </cell>
          <cell r="C571" t="str">
            <v>-</v>
          </cell>
          <cell r="D571">
            <v>5.1617908917867904E-7</v>
          </cell>
          <cell r="E571">
            <v>-1.82951750422099E-6</v>
          </cell>
          <cell r="F571">
            <v>2.3346556140061293E-4</v>
          </cell>
          <cell r="G571">
            <v>2.3556776814653778E-4</v>
          </cell>
          <cell r="H571">
            <v>4.8475430044511399E-4</v>
          </cell>
          <cell r="I571">
            <v>5.0111945715074495E-4</v>
          </cell>
          <cell r="J571">
            <v>1.2763863051529062E-3</v>
          </cell>
        </row>
        <row r="572">
          <cell r="A572" t="str">
            <v>RHEM-SHSOLBR</v>
          </cell>
          <cell r="B572" t="str">
            <v>VAR_fout</v>
          </cell>
          <cell r="C572" t="str">
            <v>RHEM-SHASOL</v>
          </cell>
          <cell r="D572">
            <v>0.40811452667849391</v>
          </cell>
          <cell r="E572">
            <v>0.47105859154217283</v>
          </cell>
          <cell r="F572">
            <v>9.7498787671043158E-3</v>
          </cell>
          <cell r="G572">
            <v>1.1526964048192204E-2</v>
          </cell>
          <cell r="H572">
            <v>1.1527379448475318E-2</v>
          </cell>
          <cell r="I572">
            <v>1.0896509928114207E-2</v>
          </cell>
          <cell r="J572">
            <v>8.9737500050908192E-3</v>
          </cell>
        </row>
        <row r="573">
          <cell r="A573" t="str">
            <v>RHEM-SHSOLBR</v>
          </cell>
          <cell r="B573" t="str">
            <v>VAR_fin</v>
          </cell>
          <cell r="C573" t="str">
            <v>SOL</v>
          </cell>
          <cell r="D573">
            <v>0.40811452667849391</v>
          </cell>
          <cell r="E573">
            <v>0.47105859154217283</v>
          </cell>
          <cell r="F573">
            <v>9.7498787671043158E-3</v>
          </cell>
          <cell r="G573">
            <v>1.1526964048192204E-2</v>
          </cell>
          <cell r="H573">
            <v>1.1527379448475318E-2</v>
          </cell>
          <cell r="I573">
            <v>1.0896509928114207E-2</v>
          </cell>
          <cell r="J573">
            <v>8.9737500050908192E-3</v>
          </cell>
        </row>
        <row r="574">
          <cell r="A574" t="str">
            <v>RHEM-SHSOLBR</v>
          </cell>
          <cell r="B574" t="str">
            <v>VAR_ncap</v>
          </cell>
          <cell r="C574" t="str">
            <v>-</v>
          </cell>
          <cell r="D574">
            <v>1.52076230785514E-4</v>
          </cell>
          <cell r="E574">
            <v>9.4641095988876999E-3</v>
          </cell>
          <cell r="F574">
            <v>1.59108140034883E-5</v>
          </cell>
          <cell r="G574">
            <v>3.1151676657240697E-5</v>
          </cell>
          <cell r="H574">
            <v>9.2045773443547493E-5</v>
          </cell>
          <cell r="I574">
            <v>3.5767194308346201E-3</v>
          </cell>
          <cell r="J574">
            <v>1.7580803808809299E-4</v>
          </cell>
        </row>
        <row r="575">
          <cell r="A575" t="str">
            <v>RHEM-SHSOLBR</v>
          </cell>
          <cell r="B575" t="str">
            <v>VAR_cap</v>
          </cell>
          <cell r="C575" t="str">
            <v>-</v>
          </cell>
          <cell r="D575">
            <v>5.9406997647823818E-2</v>
          </cell>
          <cell r="E575">
            <v>6.8869571666533694E-2</v>
          </cell>
          <cell r="F575">
            <v>6.8866699376271268E-2</v>
          </cell>
          <cell r="G575">
            <v>6.8891480743571501E-2</v>
          </cell>
          <cell r="H575">
            <v>2.0253425996899999E-2</v>
          </cell>
          <cell r="I575">
            <v>3.6835289616063659E-3</v>
          </cell>
          <cell r="J575">
            <v>2.80560472757549E-3</v>
          </cell>
        </row>
        <row r="576">
          <cell r="A576" t="str">
            <v>SCOM-SHH2BR</v>
          </cell>
          <cell r="B576" t="str">
            <v>VAR_ncap</v>
          </cell>
          <cell r="C576" t="str">
            <v>-</v>
          </cell>
          <cell r="G576">
            <v>1.50430412996553E-5</v>
          </cell>
          <cell r="H576">
            <v>0.35171178233734701</v>
          </cell>
          <cell r="I576">
            <v>0.67317059470998797</v>
          </cell>
          <cell r="J576">
            <v>0.38244626197204301</v>
          </cell>
        </row>
        <row r="577">
          <cell r="A577" t="str">
            <v>SCOM-SHH2BR</v>
          </cell>
          <cell r="B577" t="str">
            <v>VAR_cap</v>
          </cell>
          <cell r="C577" t="str">
            <v>-</v>
          </cell>
          <cell r="G577">
            <v>1.50430412996553E-5</v>
          </cell>
          <cell r="H577">
            <v>0.35170957287155408</v>
          </cell>
          <cell r="I577">
            <v>1.0248606685733626</v>
          </cell>
          <cell r="J577">
            <v>1.0197354728735319</v>
          </cell>
        </row>
        <row r="578">
          <cell r="A578" t="str">
            <v>ITOT-SWHCONBR1</v>
          </cell>
          <cell r="B578" t="str">
            <v>VAR_fout</v>
          </cell>
          <cell r="C578" t="str">
            <v>ITOT-ELS</v>
          </cell>
          <cell r="E578">
            <v>0.3622179266153624</v>
          </cell>
          <cell r="F578">
            <v>0.36220891951043244</v>
          </cell>
          <cell r="G578">
            <v>0.37291987440529623</v>
          </cell>
          <cell r="H578">
            <v>0.37296500068708804</v>
          </cell>
          <cell r="I578">
            <v>0.96971934341541666</v>
          </cell>
          <cell r="J578">
            <v>0.96973096793090652</v>
          </cell>
        </row>
        <row r="579">
          <cell r="A579" t="str">
            <v>ITOT-SWHCONBR1</v>
          </cell>
          <cell r="B579" t="str">
            <v>VAR_fout</v>
          </cell>
          <cell r="C579" t="str">
            <v>ITOT-SWHC</v>
          </cell>
          <cell r="E579">
            <v>1.7219299153213108</v>
          </cell>
          <cell r="F579">
            <v>1.7218870968899473</v>
          </cell>
          <cell r="G579">
            <v>1.7728053764667278</v>
          </cell>
          <cell r="H579">
            <v>1.7730199000694393</v>
          </cell>
          <cell r="I579">
            <v>4.6099009027399278</v>
          </cell>
          <cell r="J579">
            <v>4.6099561639501072</v>
          </cell>
        </row>
        <row r="580">
          <cell r="A580" t="str">
            <v>ITOT-SWHCONBR1</v>
          </cell>
          <cell r="B580" t="str">
            <v>VAR_fin</v>
          </cell>
          <cell r="C580" t="str">
            <v>CON</v>
          </cell>
          <cell r="E580">
            <v>2.0841478419366717</v>
          </cell>
          <cell r="F580">
            <v>2.084096016400379</v>
          </cell>
          <cell r="G580">
            <v>2.1457252508720228</v>
          </cell>
          <cell r="H580">
            <v>2.1459849007565297</v>
          </cell>
          <cell r="I580">
            <v>5.5796202461553452</v>
          </cell>
          <cell r="J580">
            <v>5.5796871318810117</v>
          </cell>
        </row>
        <row r="581">
          <cell r="A581" t="str">
            <v>ITOT-SWHCONBR1</v>
          </cell>
          <cell r="B581" t="str">
            <v>VAR_ncap</v>
          </cell>
          <cell r="C581" t="str">
            <v>-</v>
          </cell>
          <cell r="E581">
            <v>0.113348806797609</v>
          </cell>
          <cell r="F581">
            <v>4.9691570824490602E-6</v>
          </cell>
          <cell r="G581">
            <v>3.35496951383633E-3</v>
          </cell>
          <cell r="H581">
            <v>5.5297389648103802E-2</v>
          </cell>
          <cell r="I581">
            <v>0.24591093174418699</v>
          </cell>
          <cell r="J581">
            <v>0.101643477443264</v>
          </cell>
        </row>
        <row r="582">
          <cell r="A582" t="str">
            <v>ITOT-SWHCONBR1</v>
          </cell>
          <cell r="B582" t="str">
            <v>VAR_cap</v>
          </cell>
          <cell r="C582" t="str">
            <v>-</v>
          </cell>
          <cell r="E582">
            <v>0.113348806797609</v>
          </cell>
          <cell r="F582">
            <v>0.113353775954692</v>
          </cell>
          <cell r="G582">
            <v>0.116708745468528</v>
          </cell>
          <cell r="H582">
            <v>0.116730886587841</v>
          </cell>
          <cell r="I582">
            <v>0.30350059978621302</v>
          </cell>
          <cell r="J582">
            <v>0.30349978455193699</v>
          </cell>
        </row>
        <row r="583">
          <cell r="A583" t="str">
            <v>SCOM-SHLTHCHPWOD</v>
          </cell>
          <cell r="B583" t="str">
            <v>VAR_ncap</v>
          </cell>
          <cell r="C583" t="str">
            <v>-</v>
          </cell>
          <cell r="G583">
            <v>3.3130789620735098E-4</v>
          </cell>
          <cell r="H583">
            <v>4.7100209777573698E-4</v>
          </cell>
          <cell r="I583">
            <v>3.1427614902051598E-4</v>
          </cell>
          <cell r="J583">
            <v>1.4917155997074601E-4</v>
          </cell>
        </row>
        <row r="584">
          <cell r="A584" t="str">
            <v>SCOM-SHLTHCHPWOD</v>
          </cell>
          <cell r="B584" t="str">
            <v>VAR_cap</v>
          </cell>
          <cell r="C584" t="str">
            <v>-</v>
          </cell>
          <cell r="G584">
            <v>3.3130789620735098E-4</v>
          </cell>
          <cell r="H584">
            <v>5.9163514041115294E-4</v>
          </cell>
          <cell r="I584">
            <v>4.8150220622997588E-4</v>
          </cell>
          <cell r="J584">
            <v>2.4175361159862004E-4</v>
          </cell>
        </row>
        <row r="585">
          <cell r="A585" t="str">
            <v>SCOM-SHSTG-NGAHP</v>
          </cell>
          <cell r="B585" t="str">
            <v>VAR_fout</v>
          </cell>
          <cell r="C585" t="str">
            <v>SCOM-SHANGAH</v>
          </cell>
          <cell r="D585">
            <v>8.3310675922980599E-4</v>
          </cell>
          <cell r="E585">
            <v>1.6981233105690101E-3</v>
          </cell>
          <cell r="F585">
            <v>3.5430699682964138E-4</v>
          </cell>
          <cell r="G585">
            <v>4.0511484726976041E-4</v>
          </cell>
          <cell r="H585">
            <v>3.6175349022472022E-4</v>
          </cell>
          <cell r="I585">
            <v>3.838422908841145E-4</v>
          </cell>
          <cell r="J585">
            <v>2.4859169534794827E-4</v>
          </cell>
        </row>
        <row r="586">
          <cell r="A586" t="str">
            <v>SCOM-SHSTG-NGAHP</v>
          </cell>
          <cell r="B586" t="str">
            <v>VAR_fin</v>
          </cell>
          <cell r="C586" t="str">
            <v>SCOM-SHANGAH</v>
          </cell>
          <cell r="D586">
            <v>8.3310675922980599E-4</v>
          </cell>
          <cell r="E586">
            <v>1.6981233105690101E-3</v>
          </cell>
          <cell r="F586">
            <v>4.6853015928261584E-4</v>
          </cell>
          <cell r="G586">
            <v>4.8845097949872841E-4</v>
          </cell>
          <cell r="H586">
            <v>3.8174317969559974E-4</v>
          </cell>
          <cell r="I586">
            <v>3.948794701908891E-4</v>
          </cell>
          <cell r="J586">
            <v>2.370509369156796E-4</v>
          </cell>
        </row>
        <row r="587">
          <cell r="A587" t="str">
            <v>SCOM-SHSTG-NGAHP</v>
          </cell>
          <cell r="B587" t="str">
            <v>VAR_ncap</v>
          </cell>
          <cell r="C587" t="str">
            <v>-</v>
          </cell>
          <cell r="D587">
            <v>2.3962421507575101E-2</v>
          </cell>
          <cell r="E587">
            <v>2.36577737561918E-4</v>
          </cell>
          <cell r="F587">
            <v>4.3436037999177897E-2</v>
          </cell>
          <cell r="G587">
            <v>7.7420052369661999E-2</v>
          </cell>
          <cell r="H587">
            <v>3.78743070677936E-2</v>
          </cell>
          <cell r="I587">
            <v>0.105683475671148</v>
          </cell>
          <cell r="J587">
            <v>0.117829543629643</v>
          </cell>
        </row>
        <row r="588">
          <cell r="A588" t="str">
            <v>SCOM-SHSTG-NGAHP</v>
          </cell>
          <cell r="B588" t="str">
            <v>VAR_cap</v>
          </cell>
          <cell r="C588" t="str">
            <v>-</v>
          </cell>
          <cell r="D588">
            <v>2.3962421507575101E-2</v>
          </cell>
          <cell r="E588">
            <v>2.6910497983129861E-4</v>
          </cell>
          <cell r="F588">
            <v>4.3565847778067893E-2</v>
          </cell>
          <cell r="G588">
            <v>0.12067272681975021</v>
          </cell>
          <cell r="H588">
            <v>0.15743613191103298</v>
          </cell>
          <cell r="I588">
            <v>0.20246539758016258</v>
          </cell>
          <cell r="J588">
            <v>0.20947444199722315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ITOT-ELS</v>
          </cell>
          <cell r="G589">
            <v>3.0796622752504166E-3</v>
          </cell>
          <cell r="H589">
            <v>1.049821929895948E-2</v>
          </cell>
          <cell r="I589">
            <v>0.87996023983662564</v>
          </cell>
          <cell r="J589">
            <v>0.8799462595032882</v>
          </cell>
        </row>
        <row r="590">
          <cell r="A590" t="str">
            <v>ITOT-SWHCONBR2</v>
          </cell>
          <cell r="B590" t="str">
            <v>VAR_fout</v>
          </cell>
          <cell r="C590" t="str">
            <v>ITOT-SWHC</v>
          </cell>
          <cell r="G590">
            <v>4.760568518370702E-3</v>
          </cell>
          <cell r="H590">
            <v>1.6228237977657593E-2</v>
          </cell>
          <cell r="I590">
            <v>1.3602501315971545</v>
          </cell>
          <cell r="J590">
            <v>1.36022852067725</v>
          </cell>
        </row>
        <row r="591">
          <cell r="A591" t="str">
            <v>ITOT-SWHCONBR2</v>
          </cell>
          <cell r="B591" t="str">
            <v>VAR_fin</v>
          </cell>
          <cell r="C591" t="str">
            <v>CON</v>
          </cell>
          <cell r="G591">
            <v>7.8402307936211134E-3</v>
          </cell>
          <cell r="H591">
            <v>2.6726457276617085E-2</v>
          </cell>
          <cell r="I591">
            <v>2.2402103714337791</v>
          </cell>
          <cell r="J591">
            <v>2.2401747801805372</v>
          </cell>
        </row>
        <row r="592">
          <cell r="A592" t="str">
            <v>ITOT-SWHCONBR2</v>
          </cell>
          <cell r="B592" t="str">
            <v>VAR_ncap</v>
          </cell>
          <cell r="C592" t="str">
            <v>-</v>
          </cell>
          <cell r="G592">
            <v>4.2157366233260902E-4</v>
          </cell>
          <cell r="H592">
            <v>1.0235278529873899E-3</v>
          </cell>
          <cell r="I592">
            <v>0.120539867736853</v>
          </cell>
          <cell r="J592">
            <v>3.3937114658069402E-2</v>
          </cell>
        </row>
        <row r="593">
          <cell r="A593" t="str">
            <v>ITOT-SWHCONBR2</v>
          </cell>
          <cell r="B593" t="str">
            <v>VAR_cap</v>
          </cell>
          <cell r="C593" t="str">
            <v>-</v>
          </cell>
          <cell r="G593">
            <v>4.2157366233260902E-4</v>
          </cell>
          <cell r="H593">
            <v>1.4451015153200001E-3</v>
          </cell>
          <cell r="I593">
            <v>0.12185132462972501</v>
          </cell>
          <cell r="J593">
            <v>0.12184988444556499</v>
          </cell>
        </row>
        <row r="594">
          <cell r="A594" t="str">
            <v>RHES-SHCONBR1</v>
          </cell>
          <cell r="B594" t="str">
            <v>VAR_fout</v>
          </cell>
          <cell r="C594" t="str">
            <v>RHES-SHCON</v>
          </cell>
          <cell r="D594">
            <v>9.1338450630336007E-2</v>
          </cell>
          <cell r="E594">
            <v>1.1282147780373255</v>
          </cell>
          <cell r="F594">
            <v>0.8696331598688205</v>
          </cell>
          <cell r="G594">
            <v>2.6320124781029142</v>
          </cell>
          <cell r="H594">
            <v>4.2156698879323349</v>
          </cell>
          <cell r="I594">
            <v>4.7509429428611707</v>
          </cell>
          <cell r="J594">
            <v>6.4144919242710179</v>
          </cell>
        </row>
        <row r="595">
          <cell r="A595" t="str">
            <v>RHES-SHCONBR1</v>
          </cell>
          <cell r="B595" t="str">
            <v>VAR_fin</v>
          </cell>
          <cell r="C595" t="str">
            <v>CON</v>
          </cell>
          <cell r="D595">
            <v>9.1338450630336007E-2</v>
          </cell>
          <cell r="E595">
            <v>1.1282147780373255</v>
          </cell>
          <cell r="F595">
            <v>0.8696331598688205</v>
          </cell>
          <cell r="G595">
            <v>2.6320124781029142</v>
          </cell>
          <cell r="H595">
            <v>4.2156698879323349</v>
          </cell>
          <cell r="I595">
            <v>4.7509429428611707</v>
          </cell>
          <cell r="J595">
            <v>6.4144919242710179</v>
          </cell>
        </row>
        <row r="596">
          <cell r="A596" t="str">
            <v>RHES-SHCONBR1</v>
          </cell>
          <cell r="B596" t="str">
            <v>VAR_ncap</v>
          </cell>
          <cell r="C596" t="str">
            <v>-</v>
          </cell>
          <cell r="D596">
            <v>4.5552129879623197E-2</v>
          </cell>
          <cell r="E596">
            <v>4.55520572351754E-2</v>
          </cell>
          <cell r="F596">
            <v>1.5750621618894999E-5</v>
          </cell>
          <cell r="G596">
            <v>0.122514465531517</v>
          </cell>
          <cell r="H596">
            <v>0.127352101411738</v>
          </cell>
          <cell r="I596">
            <v>4.31387059657731E-2</v>
          </cell>
          <cell r="J596">
            <v>0.17619295197444501</v>
          </cell>
        </row>
        <row r="597">
          <cell r="A597" t="str">
            <v>RHES-SHCONBR1</v>
          </cell>
          <cell r="B597" t="str">
            <v>VAR_cap</v>
          </cell>
          <cell r="C597" t="str">
            <v>-</v>
          </cell>
          <cell r="D597">
            <v>4.5552129879623197E-2</v>
          </cell>
          <cell r="E597">
            <v>9.1103961139069364E-2</v>
          </cell>
          <cell r="F597">
            <v>9.1110755467017482E-2</v>
          </cell>
          <cell r="G597">
            <v>0.21362585588375346</v>
          </cell>
          <cell r="H597">
            <v>0.34097713614867725</v>
          </cell>
          <cell r="I597">
            <v>0.3841183347566387</v>
          </cell>
          <cell r="J597">
            <v>0.51838323176081502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ITOT-ELS</v>
          </cell>
          <cell r="G598">
            <v>2.3867093230823125E-3</v>
          </cell>
          <cell r="H598">
            <v>5.4823208846921491E-3</v>
          </cell>
          <cell r="I598">
            <v>2.2987385511850968</v>
          </cell>
          <cell r="J598">
            <v>2.298728638522193</v>
          </cell>
        </row>
        <row r="599">
          <cell r="A599" t="str">
            <v>ITOT-SWHCONBR3</v>
          </cell>
          <cell r="B599" t="str">
            <v>VAR_fout</v>
          </cell>
          <cell r="C599" t="str">
            <v>ITOT-SWHC</v>
          </cell>
          <cell r="G599">
            <v>4.7365600415444197E-3</v>
          </cell>
          <cell r="H599">
            <v>1.0879976789055244E-2</v>
          </cell>
          <cell r="I599">
            <v>4.5619770544322487</v>
          </cell>
          <cell r="J599">
            <v>4.5619573821904096</v>
          </cell>
        </row>
        <row r="600">
          <cell r="A600" t="str">
            <v>ITOT-SWHCONBR3</v>
          </cell>
          <cell r="B600" t="str">
            <v>VAR_fin</v>
          </cell>
          <cell r="C600" t="str">
            <v>CON</v>
          </cell>
          <cell r="G600">
            <v>7.1232693646267357E-3</v>
          </cell>
          <cell r="H600">
            <v>1.6362297673747389E-2</v>
          </cell>
          <cell r="I600">
            <v>6.8607156056173482</v>
          </cell>
          <cell r="J600">
            <v>6.8606860207125981</v>
          </cell>
        </row>
        <row r="601">
          <cell r="A601" t="str">
            <v>ITOT-SWHCONBR3</v>
          </cell>
          <cell r="B601" t="str">
            <v>VAR_ncap</v>
          </cell>
          <cell r="C601" t="str">
            <v>-</v>
          </cell>
          <cell r="G601">
            <v>3.7718280768828702E-4</v>
          </cell>
          <cell r="H601">
            <v>5.0109689726360004E-4</v>
          </cell>
          <cell r="I601">
            <v>0.37241945093281698</v>
          </cell>
          <cell r="J601">
            <v>0.102686555210823</v>
          </cell>
        </row>
        <row r="602">
          <cell r="A602" t="str">
            <v>ITOT-SWHCONBR3</v>
          </cell>
          <cell r="B602" t="str">
            <v>VAR_cap</v>
          </cell>
          <cell r="C602" t="str">
            <v>-</v>
          </cell>
          <cell r="G602">
            <v>3.7718280768828702E-4</v>
          </cell>
          <cell r="H602">
            <v>8.7827970495188705E-4</v>
          </cell>
          <cell r="I602">
            <v>0.37317815852396902</v>
          </cell>
          <cell r="J602">
            <v>0.373175797003509</v>
          </cell>
        </row>
        <row r="603">
          <cell r="A603" t="str">
            <v>ITOT-ELCSPECADV</v>
          </cell>
          <cell r="B603" t="str">
            <v>VAR_fout</v>
          </cell>
          <cell r="C603" t="str">
            <v>ITOT-ELS</v>
          </cell>
          <cell r="G603">
            <v>6.8200496968740748E-3</v>
          </cell>
          <cell r="H603">
            <v>1.8009958599717837E-2</v>
          </cell>
          <cell r="I603">
            <v>1.5474477717128284E-2</v>
          </cell>
          <cell r="J603">
            <v>1.7144165152948594E-2</v>
          </cell>
        </row>
        <row r="604">
          <cell r="A604" t="str">
            <v>ITOT-ELCSPECADV</v>
          </cell>
          <cell r="B604" t="str">
            <v>VAR_fin</v>
          </cell>
          <cell r="C604" t="str">
            <v>ITOT_ELC</v>
          </cell>
          <cell r="G604">
            <v>6.4952854255943548E-3</v>
          </cell>
          <cell r="H604">
            <v>1.6753449860202652E-2</v>
          </cell>
          <cell r="I604">
            <v>1.4067707015571165E-2</v>
          </cell>
          <cell r="J604">
            <v>1.4907969698216162E-2</v>
          </cell>
        </row>
        <row r="605">
          <cell r="A605" t="str">
            <v>ITOT-ELCSPECADV</v>
          </cell>
          <cell r="B605" t="str">
            <v>VAR_ncap</v>
          </cell>
          <cell r="C605" t="str">
            <v>-</v>
          </cell>
          <cell r="G605">
            <v>7.04528266115286E-4</v>
          </cell>
          <cell r="H605">
            <v>5.4013030744578497E-4</v>
          </cell>
          <cell r="I605">
            <v>1.9417828434349699E-5</v>
          </cell>
          <cell r="J605">
            <v>1.67817536934631E-5</v>
          </cell>
        </row>
        <row r="606">
          <cell r="A606" t="str">
            <v>ITOT-ELCSPECADV</v>
          </cell>
          <cell r="B606" t="str">
            <v>VAR_cap</v>
          </cell>
          <cell r="C606" t="str">
            <v>-</v>
          </cell>
          <cell r="G606">
            <v>7.04528266115286E-4</v>
          </cell>
          <cell r="H606">
            <v>1.2425624049290092E-3</v>
          </cell>
          <cell r="I606">
            <v>1.2542584413136647E-3</v>
          </cell>
          <cell r="J606">
            <v>1.0194011063148632E-3</v>
          </cell>
        </row>
        <row r="607">
          <cell r="A607" t="str">
            <v>RHES-SHELCBR</v>
          </cell>
          <cell r="B607" t="str">
            <v>VAR_fout</v>
          </cell>
          <cell r="C607" t="str">
            <v>RHES-SHAELCB</v>
          </cell>
          <cell r="D607">
            <v>4.2802842198011852</v>
          </cell>
          <cell r="E607">
            <v>4.4883656794970577</v>
          </cell>
          <cell r="F607">
            <v>0.78647818589278051</v>
          </cell>
          <cell r="G607">
            <v>0.18593332401573226</v>
          </cell>
          <cell r="H607">
            <v>1.3559624785440358E-2</v>
          </cell>
          <cell r="I607">
            <v>3.4306243686517785E-3</v>
          </cell>
          <cell r="J607">
            <v>1.9542093614694769E-3</v>
          </cell>
        </row>
        <row r="608">
          <cell r="A608" t="str">
            <v>RHES-SHELCBR</v>
          </cell>
          <cell r="B608" t="str">
            <v>VAR_fin</v>
          </cell>
          <cell r="C608" t="str">
            <v>RHES_ELC</v>
          </cell>
          <cell r="D608">
            <v>4.5055623366328259</v>
          </cell>
          <cell r="E608">
            <v>4.7245954521021698</v>
          </cell>
          <cell r="F608">
            <v>0.85720904909904283</v>
          </cell>
          <cell r="G608">
            <v>0.20265498870057488</v>
          </cell>
          <cell r="H608">
            <v>1.477909149542735E-2</v>
          </cell>
          <cell r="I608">
            <v>3.6992155352620101E-3</v>
          </cell>
          <cell r="J608">
            <v>2.0687034042513163E-3</v>
          </cell>
        </row>
        <row r="609">
          <cell r="A609" t="str">
            <v>RHES-SHELCBR</v>
          </cell>
          <cell r="B609" t="str">
            <v>VAR_ncap</v>
          </cell>
          <cell r="C609" t="str">
            <v>-</v>
          </cell>
          <cell r="D609">
            <v>5.0448330531093404E-7</v>
          </cell>
          <cell r="E609">
            <v>1.7234735377372901E-2</v>
          </cell>
          <cell r="F609">
            <v>3.3047735763248401E-6</v>
          </cell>
          <cell r="G609">
            <v>5.5423657146273401E-6</v>
          </cell>
          <cell r="H609">
            <v>3.21502410703926E-5</v>
          </cell>
          <cell r="I609">
            <v>4.2993652982383803E-4</v>
          </cell>
          <cell r="J609">
            <v>4.9415342843582199E-6</v>
          </cell>
        </row>
        <row r="610">
          <cell r="A610" t="str">
            <v>RHES-SHELCBR</v>
          </cell>
          <cell r="B610" t="str">
            <v>VAR_cap</v>
          </cell>
          <cell r="C610" t="str">
            <v>-</v>
          </cell>
          <cell r="D610">
            <v>0.34576980435963828</v>
          </cell>
          <cell r="E610">
            <v>0.3630014802739262</v>
          </cell>
          <cell r="F610">
            <v>0.1151385168950595</v>
          </cell>
          <cell r="G610">
            <v>2.7359641309959104E-2</v>
          </cell>
          <cell r="H610">
            <v>2.0745799886377342E-3</v>
          </cell>
          <cell r="I610">
            <v>4.5378640528403807E-4</v>
          </cell>
          <cell r="J610">
            <v>2.3234173578583851E-4</v>
          </cell>
        </row>
        <row r="611">
          <cell r="A611" t="str">
            <v>RHSA-WHELCBR</v>
          </cell>
          <cell r="B611" t="str">
            <v>VAR_fout</v>
          </cell>
          <cell r="C611" t="str">
            <v>RHSA-WHAELCB</v>
          </cell>
          <cell r="D611">
            <v>6.6450401712067455</v>
          </cell>
          <cell r="E611">
            <v>6.9687574275601136</v>
          </cell>
          <cell r="F611">
            <v>2.8222235255705348</v>
          </cell>
          <cell r="G611">
            <v>2.0093105574710819</v>
          </cell>
          <cell r="H611">
            <v>1.8599727550549274</v>
          </cell>
          <cell r="I611">
            <v>1.7215038128548981</v>
          </cell>
          <cell r="J611">
            <v>1.5550888267798728</v>
          </cell>
        </row>
        <row r="612">
          <cell r="A612" t="str">
            <v>RHSA-WHELCBR</v>
          </cell>
          <cell r="B612" t="str">
            <v>VAR_fin</v>
          </cell>
          <cell r="C612" t="str">
            <v>RHSA_ELC</v>
          </cell>
          <cell r="D612">
            <v>8.4114432546920828</v>
          </cell>
          <cell r="E612">
            <v>8.7989361459092343</v>
          </cell>
          <cell r="F612">
            <v>6.0594201068162699</v>
          </cell>
          <cell r="G612">
            <v>4.1402415107855282</v>
          </cell>
          <cell r="H612">
            <v>3.7484737581233953</v>
          </cell>
          <cell r="I612">
            <v>3.4108421979222174</v>
          </cell>
          <cell r="J612">
            <v>2.9944918132330121</v>
          </cell>
        </row>
        <row r="613">
          <cell r="A613" t="str">
            <v>RHSA-WHELCBR</v>
          </cell>
          <cell r="B613" t="str">
            <v>VAR_ncap</v>
          </cell>
          <cell r="C613" t="str">
            <v>-</v>
          </cell>
          <cell r="D613">
            <v>4.8522223533181398E-4</v>
          </cell>
          <cell r="E613">
            <v>3.42205483671617E-2</v>
          </cell>
          <cell r="F613">
            <v>6.2666672536612602E-6</v>
          </cell>
          <cell r="G613">
            <v>1.11083084967643E-5</v>
          </cell>
          <cell r="H613">
            <v>5.9341301530155301E-2</v>
          </cell>
          <cell r="I613">
            <v>8.89881226578422E-2</v>
          </cell>
          <cell r="J613">
            <v>4.8541097516170098E-2</v>
          </cell>
        </row>
        <row r="614">
          <cell r="A614" t="str">
            <v>RHSA-WHELCBR</v>
          </cell>
          <cell r="B614" t="str">
            <v>VAR_cap</v>
          </cell>
          <cell r="C614" t="str">
            <v>-</v>
          </cell>
          <cell r="D614">
            <v>0.43805381100900881</v>
          </cell>
          <cell r="E614">
            <v>0.47226492076174675</v>
          </cell>
          <cell r="F614">
            <v>0.34825311645012907</v>
          </cell>
          <cell r="G614">
            <v>0.25497296554436588</v>
          </cell>
          <cell r="H614">
            <v>0.13406737786247211</v>
          </cell>
          <cell r="I614">
            <v>0.14831721474331847</v>
          </cell>
          <cell r="J614">
            <v>0.13820878016960519</v>
          </cell>
        </row>
        <row r="615">
          <cell r="A615" t="str">
            <v>ITOT-SWHLTHDH</v>
          </cell>
          <cell r="B615" t="str">
            <v>VAR_fout</v>
          </cell>
          <cell r="C615" t="str">
            <v>ITOT-SWH</v>
          </cell>
          <cell r="D615">
            <v>6.5824646464109744</v>
          </cell>
          <cell r="E615">
            <v>7.0678935623555006</v>
          </cell>
          <cell r="F615">
            <v>7.0905443365677856</v>
          </cell>
          <cell r="G615">
            <v>7.1283840021187768</v>
          </cell>
          <cell r="H615">
            <v>7.1661378789950358</v>
          </cell>
          <cell r="I615">
            <v>7.2030321047667991</v>
          </cell>
          <cell r="J615">
            <v>8.0870394899735771</v>
          </cell>
        </row>
        <row r="616">
          <cell r="A616" t="str">
            <v>ITOT-SWHLTHDH</v>
          </cell>
          <cell r="B616" t="str">
            <v>VAR_fin</v>
          </cell>
          <cell r="C616" t="str">
            <v>ITOT_LTH_DH</v>
          </cell>
          <cell r="D616">
            <v>7.1202094790041857</v>
          </cell>
          <cell r="E616">
            <v>7.6289546232497099</v>
          </cell>
          <cell r="F616">
            <v>7.6289456009858734</v>
          </cell>
          <cell r="G616">
            <v>7.6290252733156585</v>
          </cell>
          <cell r="H616">
            <v>7.6290127759654762</v>
          </cell>
          <cell r="I616">
            <v>7.6280900296952057</v>
          </cell>
          <cell r="J616">
            <v>8.5126731473406103</v>
          </cell>
        </row>
        <row r="617">
          <cell r="A617" t="str">
            <v>ITOT-SWHLTHDH</v>
          </cell>
          <cell r="B617" t="str">
            <v>VAR_fin</v>
          </cell>
          <cell r="C617" t="str">
            <v>ITOTLTHDHC</v>
          </cell>
          <cell r="D617">
            <v>6.5824646464109744</v>
          </cell>
          <cell r="E617">
            <v>7.0678935623555006</v>
          </cell>
          <cell r="F617">
            <v>7.0905443365677856</v>
          </cell>
          <cell r="G617">
            <v>7.1283840021187768</v>
          </cell>
          <cell r="H617">
            <v>7.1661378789950358</v>
          </cell>
          <cell r="I617">
            <v>7.2030321047667991</v>
          </cell>
          <cell r="J617">
            <v>8.0870394899735771</v>
          </cell>
        </row>
        <row r="618">
          <cell r="A618" t="str">
            <v>ITOT-SWHLTHDH</v>
          </cell>
          <cell r="B618" t="str">
            <v>VAR_ncap</v>
          </cell>
          <cell r="C618" t="str">
            <v>-</v>
          </cell>
          <cell r="E618">
            <v>0.32363936147823202</v>
          </cell>
          <cell r="F618">
            <v>0.35416572165885002</v>
          </cell>
          <cell r="G618">
            <v>0.24020758780524001</v>
          </cell>
          <cell r="H618">
            <v>0.30720215706726001</v>
          </cell>
          <cell r="I618">
            <v>0.38204002696274297</v>
          </cell>
          <cell r="J618">
            <v>0.58926461992578105</v>
          </cell>
        </row>
        <row r="619">
          <cell r="A619" t="str">
            <v>ITOT-SWHLTHDH</v>
          </cell>
          <cell r="B619" t="str">
            <v>VAR_cap</v>
          </cell>
          <cell r="C619" t="str">
            <v>-</v>
          </cell>
          <cell r="D619">
            <v>0.79547229253225304</v>
          </cell>
          <cell r="E619">
            <v>0.58363824373771311</v>
          </cell>
          <cell r="F619">
            <v>0.6607116936131151</v>
          </cell>
          <cell r="G619">
            <v>0.55300932339656494</v>
          </cell>
          <cell r="H619">
            <v>0.52743852570495697</v>
          </cell>
          <cell r="I619">
            <v>0.59812960915029401</v>
          </cell>
          <cell r="J619">
            <v>0.79530576038510803</v>
          </cell>
        </row>
        <row r="620">
          <cell r="A620" t="str">
            <v>RHES-SHCONBR2</v>
          </cell>
          <cell r="B620" t="str">
            <v>VAR_fout</v>
          </cell>
          <cell r="C620" t="str">
            <v>RHES-SHCON</v>
          </cell>
          <cell r="D620">
            <v>7.2258420511681104E-2</v>
          </cell>
          <cell r="E620">
            <v>0.82124890496275127</v>
          </cell>
          <cell r="F620">
            <v>0.59008665314887176</v>
          </cell>
          <cell r="G620">
            <v>0.8464830400040767</v>
          </cell>
          <cell r="H620">
            <v>1.4291022430256857</v>
          </cell>
          <cell r="I620">
            <v>2.9189416641923858</v>
          </cell>
          <cell r="J620">
            <v>4.6683340161693048</v>
          </cell>
        </row>
        <row r="621">
          <cell r="A621" t="str">
            <v>RHES-SHCONBR2</v>
          </cell>
          <cell r="B621" t="str">
            <v>VAR_fin</v>
          </cell>
          <cell r="C621" t="str">
            <v>CON</v>
          </cell>
          <cell r="D621">
            <v>7.2258420511681104E-2</v>
          </cell>
          <cell r="E621">
            <v>0.82124890496275127</v>
          </cell>
          <cell r="F621">
            <v>0.59008665314887176</v>
          </cell>
          <cell r="G621">
            <v>0.8464830400040767</v>
          </cell>
          <cell r="H621">
            <v>1.4291022430256857</v>
          </cell>
          <cell r="I621">
            <v>2.9189416641923858</v>
          </cell>
          <cell r="J621">
            <v>4.6683340161693048</v>
          </cell>
        </row>
        <row r="622">
          <cell r="A622" t="str">
            <v>RHES-SHCONBR2</v>
          </cell>
          <cell r="B622" t="str">
            <v>VAR_ncap</v>
          </cell>
          <cell r="C622" t="str">
            <v>-</v>
          </cell>
          <cell r="D622">
            <v>3.31520119598619E-2</v>
          </cell>
          <cell r="E622">
            <v>3.3151955171501699E-2</v>
          </cell>
          <cell r="F622">
            <v>1.6385129819626399E-5</v>
          </cell>
          <cell r="G622">
            <v>3.0238886906695699E-3</v>
          </cell>
          <cell r="H622">
            <v>4.6512055202892401E-2</v>
          </cell>
          <cell r="I622">
            <v>0.120263679186335</v>
          </cell>
          <cell r="J622">
            <v>0.17170918496558801</v>
          </cell>
        </row>
        <row r="623">
          <cell r="A623" t="str">
            <v>RHES-SHCONBR2</v>
          </cell>
          <cell r="B623" t="str">
            <v>VAR_cap</v>
          </cell>
          <cell r="C623" t="str">
            <v>-</v>
          </cell>
          <cell r="D623">
            <v>3.31520119598619E-2</v>
          </cell>
          <cell r="E623">
            <v>6.6303746486876536E-2</v>
          </cell>
          <cell r="F623">
            <v>6.6311432076323049E-2</v>
          </cell>
          <cell r="G623">
            <v>6.9335830299267848E-2</v>
          </cell>
          <cell r="H623">
            <v>0.11584708622294938</v>
          </cell>
          <cell r="I623">
            <v>0.23611315313685122</v>
          </cell>
          <cell r="J623">
            <v>0.37730723723714998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ITOT-ELS</v>
          </cell>
          <cell r="H624">
            <v>1.0003108923365592E-3</v>
          </cell>
          <cell r="I624">
            <v>1.560175748418238E-3</v>
          </cell>
          <cell r="J624">
            <v>1.5559695891887888E-3</v>
          </cell>
        </row>
        <row r="625">
          <cell r="A625" t="str">
            <v>ITOT-SWHCONBR4</v>
          </cell>
          <cell r="B625" t="str">
            <v>VAR_fout</v>
          </cell>
          <cell r="C625" t="str">
            <v>ITOT-SWHC</v>
          </cell>
          <cell r="H625">
            <v>1.0749879450697141E-2</v>
          </cell>
          <cell r="I625">
            <v>1.676648864456665E-2</v>
          </cell>
          <cell r="J625">
            <v>1.6721286992746796E-2</v>
          </cell>
        </row>
        <row r="626">
          <cell r="A626" t="str">
            <v>ITOT-SWHCONBR4</v>
          </cell>
          <cell r="B626" t="str">
            <v>VAR_fin</v>
          </cell>
          <cell r="C626" t="str">
            <v>CON</v>
          </cell>
          <cell r="H626">
            <v>1.1750190343033717E-2</v>
          </cell>
          <cell r="I626">
            <v>1.8326664392984891E-2</v>
          </cell>
          <cell r="J626">
            <v>1.8277256581935582E-2</v>
          </cell>
        </row>
        <row r="627">
          <cell r="A627" t="str">
            <v>ITOT-SWHCONBR4</v>
          </cell>
          <cell r="B627" t="str">
            <v>VAR_ncap</v>
          </cell>
          <cell r="C627" t="str">
            <v>-</v>
          </cell>
          <cell r="H627">
            <v>6.1343350723704396E-4</v>
          </cell>
          <cell r="I627">
            <v>3.6918490445541502E-4</v>
          </cell>
          <cell r="J627">
            <v>4.5601470900947301E-4</v>
          </cell>
        </row>
        <row r="628">
          <cell r="A628" t="str">
            <v>ITOT-SWHCONBR4</v>
          </cell>
          <cell r="B628" t="str">
            <v>VAR_cap</v>
          </cell>
          <cell r="C628" t="str">
            <v>-</v>
          </cell>
          <cell r="H628">
            <v>6.1343350723704396E-4</v>
          </cell>
          <cell r="I628">
            <v>9.8261841169245898E-4</v>
          </cell>
          <cell r="J628">
            <v>9.83423663197712E-4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ITOT_ELC</v>
          </cell>
          <cell r="D629">
            <v>0.62476486145644394</v>
          </cell>
          <cell r="E629">
            <v>0.18095712815102022</v>
          </cell>
          <cell r="F629">
            <v>0.44103513524332366</v>
          </cell>
          <cell r="G629">
            <v>4.2369970920499586E-2</v>
          </cell>
          <cell r="H629">
            <v>0.63085352037263476</v>
          </cell>
          <cell r="I629">
            <v>0.15082090685613186</v>
          </cell>
          <cell r="J629">
            <v>0.63102011375057587</v>
          </cell>
        </row>
        <row r="630">
          <cell r="A630" t="str">
            <v>D-ITOT_NKEV_GAS_ELC_CHP</v>
          </cell>
          <cell r="B630" t="str">
            <v>VAR_fout</v>
          </cell>
          <cell r="C630" t="str">
            <v>ELC5</v>
          </cell>
          <cell r="D630">
            <v>4.5456673347009063E-2</v>
          </cell>
          <cell r="E630">
            <v>3.5568578728244378E-2</v>
          </cell>
          <cell r="F630">
            <v>3.3417528286991086E-2</v>
          </cell>
          <cell r="G630">
            <v>9.6791291603495772E-3</v>
          </cell>
          <cell r="H630">
            <v>3.9438547085149385E-2</v>
          </cell>
          <cell r="I630">
            <v>4.0970601535011947E-2</v>
          </cell>
          <cell r="J630">
            <v>3.9142166772355491E-2</v>
          </cell>
        </row>
        <row r="631">
          <cell r="A631" t="str">
            <v>D-ITOT_NKEV_GAS_ELC_CHP</v>
          </cell>
          <cell r="B631" t="str">
            <v>VAR_fin</v>
          </cell>
          <cell r="C631" t="str">
            <v>ITOT_NKEV_GAS_ELC_CHP</v>
          </cell>
          <cell r="D631">
            <v>0.67022153480345359</v>
          </cell>
          <cell r="E631">
            <v>0.2165257068792647</v>
          </cell>
          <cell r="F631">
            <v>0.47426138968811049</v>
          </cell>
          <cell r="G631">
            <v>5.1811120007294945E-2</v>
          </cell>
          <cell r="H631">
            <v>0.67029206745778391</v>
          </cell>
          <cell r="I631">
            <v>0.19179150839114378</v>
          </cell>
          <cell r="J631">
            <v>0.67016228052293147</v>
          </cell>
        </row>
        <row r="632">
          <cell r="A632" t="str">
            <v>SCOM-SHELCBR</v>
          </cell>
          <cell r="B632" t="str">
            <v>VAR_fout</v>
          </cell>
          <cell r="C632" t="str">
            <v>SCOM-SHAELCB</v>
          </cell>
          <cell r="D632">
            <v>2.3942948261139705</v>
          </cell>
          <cell r="E632">
            <v>0.59042384341414011</v>
          </cell>
          <cell r="F632">
            <v>0.52198776015302872</v>
          </cell>
          <cell r="G632">
            <v>0.30401608889524623</v>
          </cell>
          <cell r="H632">
            <v>0.26582719450411385</v>
          </cell>
          <cell r="I632">
            <v>0.21834346632994475</v>
          </cell>
          <cell r="J632">
            <v>0.15819913328691002</v>
          </cell>
        </row>
        <row r="633">
          <cell r="A633" t="str">
            <v>SCOM-SHELCBR</v>
          </cell>
          <cell r="B633" t="str">
            <v>VAR_fin</v>
          </cell>
          <cell r="C633" t="str">
            <v>SCOM_ELC</v>
          </cell>
          <cell r="D633">
            <v>2.6238847409468149</v>
          </cell>
          <cell r="E633">
            <v>0.64527196001545362</v>
          </cell>
          <cell r="F633">
            <v>1.1044682177838305</v>
          </cell>
          <cell r="G633">
            <v>0.61480768134112684</v>
          </cell>
          <cell r="H633">
            <v>0.53081232668661837</v>
          </cell>
          <cell r="I633">
            <v>0.42934727752138246</v>
          </cell>
          <cell r="J633">
            <v>0.29826331833074221</v>
          </cell>
        </row>
        <row r="634">
          <cell r="A634" t="str">
            <v>SCOM-SHELCBR</v>
          </cell>
          <cell r="B634" t="str">
            <v>VAR_ncap</v>
          </cell>
          <cell r="C634" t="str">
            <v>-</v>
          </cell>
          <cell r="D634">
            <v>9.6829738756829003E-5</v>
          </cell>
          <cell r="E634">
            <v>2.5009649616002901E-5</v>
          </cell>
          <cell r="F634">
            <v>2.6864813303570699E-5</v>
          </cell>
          <cell r="G634">
            <v>3.9002855856142701E-5</v>
          </cell>
          <cell r="H634">
            <v>2.34410331429971E-2</v>
          </cell>
          <cell r="I634">
            <v>2.7284274330457402E-3</v>
          </cell>
          <cell r="J634">
            <v>6.1898034841373403E-3</v>
          </cell>
        </row>
        <row r="635">
          <cell r="A635" t="str">
            <v>SCOM-SHELCBR</v>
          </cell>
          <cell r="B635" t="str">
            <v>VAR_cap</v>
          </cell>
          <cell r="C635" t="str">
            <v>-</v>
          </cell>
          <cell r="D635">
            <v>0.18508487809019883</v>
          </cell>
          <cell r="E635">
            <v>8.1554873922687815E-2</v>
          </cell>
          <cell r="F635">
            <v>7.32616740861914E-2</v>
          </cell>
          <cell r="G635">
            <v>4.1944413715354539E-2</v>
          </cell>
          <cell r="H635">
            <v>3.4297845137172496E-2</v>
          </cell>
          <cell r="I635">
            <v>2.6149793098811405E-2</v>
          </cell>
          <cell r="J635">
            <v>1.8046855112669357E-2</v>
          </cell>
        </row>
        <row r="636">
          <cell r="A636" t="str">
            <v>RHES-SHCONBR3</v>
          </cell>
          <cell r="B636" t="str">
            <v>VAR_fout</v>
          </cell>
          <cell r="C636" t="str">
            <v>RHES-SHCON</v>
          </cell>
          <cell r="D636">
            <v>1.6699061450551115E-2</v>
          </cell>
          <cell r="E636">
            <v>0.70683580355509579</v>
          </cell>
          <cell r="F636">
            <v>0.52069693606411482</v>
          </cell>
          <cell r="G636">
            <v>0.69595761631823272</v>
          </cell>
          <cell r="H636">
            <v>0.70237802189823129</v>
          </cell>
          <cell r="I636">
            <v>0.7034696787484791</v>
          </cell>
          <cell r="J636">
            <v>1.8366924597269882</v>
          </cell>
        </row>
        <row r="637">
          <cell r="A637" t="str">
            <v>RHES-SHCONBR3</v>
          </cell>
          <cell r="B637" t="str">
            <v>VAR_fin</v>
          </cell>
          <cell r="C637" t="str">
            <v>CON</v>
          </cell>
          <cell r="D637">
            <v>1.6699061450551115E-2</v>
          </cell>
          <cell r="E637">
            <v>0.70683580355509579</v>
          </cell>
          <cell r="F637">
            <v>0.52069693606411482</v>
          </cell>
          <cell r="G637">
            <v>0.69595761631823272</v>
          </cell>
          <cell r="H637">
            <v>0.70237802189823129</v>
          </cell>
          <cell r="I637">
            <v>0.7034696787484791</v>
          </cell>
          <cell r="J637">
            <v>1.8366924597269882</v>
          </cell>
        </row>
        <row r="638">
          <cell r="A638" t="str">
            <v>RHES-SHCONBR3</v>
          </cell>
          <cell r="B638" t="str">
            <v>VAR_ncap</v>
          </cell>
          <cell r="C638" t="str">
            <v>-</v>
          </cell>
          <cell r="D638">
            <v>2.30879617156814E-3</v>
          </cell>
          <cell r="E638">
            <v>5.4753876563152698E-2</v>
          </cell>
          <cell r="F638">
            <v>3.1535719694432901E-6</v>
          </cell>
          <cell r="G638">
            <v>6.53668542545251E-6</v>
          </cell>
          <cell r="H638">
            <v>2.4529691655932402E-6</v>
          </cell>
          <cell r="I638">
            <v>2.2421421703970001E-6</v>
          </cell>
          <cell r="J638">
            <v>0.11564202787041999</v>
          </cell>
        </row>
        <row r="639">
          <cell r="A639" t="str">
            <v>RHES-SHCONBR3</v>
          </cell>
          <cell r="B639" t="str">
            <v>VAR_cap</v>
          </cell>
          <cell r="C639" t="str">
            <v>-</v>
          </cell>
          <cell r="D639">
            <v>2.30879617156814E-3</v>
          </cell>
          <cell r="E639">
            <v>5.7062445207837771E-2</v>
          </cell>
          <cell r="F639">
            <v>5.7056866748792429E-2</v>
          </cell>
          <cell r="G639">
            <v>5.7064857150923354E-2</v>
          </cell>
          <cell r="H639">
            <v>5.7066977436801322E-2</v>
          </cell>
          <cell r="I639">
            <v>5.7071447725043474E-2</v>
          </cell>
          <cell r="J639">
            <v>0.14846320666508095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ITOT-ELS</v>
          </cell>
          <cell r="H640">
            <v>1.772921833389415E-3</v>
          </cell>
          <cell r="I640">
            <v>2.7938161094541187E-3</v>
          </cell>
          <cell r="J640">
            <v>2.7857076412015945E-3</v>
          </cell>
        </row>
        <row r="641">
          <cell r="A641" t="str">
            <v>ITOT-SWHCONBR5</v>
          </cell>
          <cell r="B641" t="str">
            <v>VAR_fout</v>
          </cell>
          <cell r="C641" t="str">
            <v>ITOT-SWHC</v>
          </cell>
          <cell r="H641">
            <v>8.6959625974669733E-3</v>
          </cell>
          <cell r="I641">
            <v>1.3703322918398195E-2</v>
          </cell>
          <cell r="J641">
            <v>1.3663551883195879E-2</v>
          </cell>
        </row>
        <row r="642">
          <cell r="A642" t="str">
            <v>ITOT-SWHCONBR5</v>
          </cell>
          <cell r="B642" t="str">
            <v>VAR_fin</v>
          </cell>
          <cell r="C642" t="str">
            <v>CON</v>
          </cell>
          <cell r="H642">
            <v>1.0468884430856395E-2</v>
          </cell>
          <cell r="I642">
            <v>1.6497139027852308E-2</v>
          </cell>
          <cell r="J642">
            <v>1.6449259524397467E-2</v>
          </cell>
        </row>
        <row r="643">
          <cell r="A643" t="str">
            <v>ITOT-SWHCONBR5</v>
          </cell>
          <cell r="B643" t="str">
            <v>VAR_ncap</v>
          </cell>
          <cell r="C643" t="str">
            <v>-</v>
          </cell>
          <cell r="H643">
            <v>5.4690952080444898E-4</v>
          </cell>
          <cell r="I643">
            <v>3.3450050162106998E-4</v>
          </cell>
          <cell r="J643">
            <v>4.0961755346340302E-4</v>
          </cell>
        </row>
        <row r="644">
          <cell r="A644" t="str">
            <v>ITOT-SWHCONBR5</v>
          </cell>
          <cell r="B644" t="str">
            <v>VAR_cap</v>
          </cell>
          <cell r="C644" t="str">
            <v>-</v>
          </cell>
          <cell r="H644">
            <v>5.4690952080444898E-4</v>
          </cell>
          <cell r="I644">
            <v>8.8141002242551902E-4</v>
          </cell>
          <cell r="J644">
            <v>8.8371558331212005E-4</v>
          </cell>
        </row>
        <row r="645">
          <cell r="A645" t="str">
            <v>RHES-SHSTG-ELC</v>
          </cell>
          <cell r="B645" t="str">
            <v>VAR_fout</v>
          </cell>
          <cell r="C645" t="str">
            <v>RHES-SHAELCB</v>
          </cell>
          <cell r="D645">
            <v>0.5295596947952369</v>
          </cell>
          <cell r="E645">
            <v>0.630687366147066</v>
          </cell>
          <cell r="F645">
            <v>0.17941661416046192</v>
          </cell>
          <cell r="G645">
            <v>3.6137951837761938E-2</v>
          </cell>
          <cell r="H645">
            <v>8.2872131768004398E-4</v>
          </cell>
          <cell r="I645">
            <v>2.2093695497162278E-4</v>
          </cell>
          <cell r="J645">
            <v>1.5828896768129371E-4</v>
          </cell>
        </row>
        <row r="646">
          <cell r="A646" t="str">
            <v>RHES-SHSTG-ELC</v>
          </cell>
          <cell r="B646" t="str">
            <v>VAR_fout</v>
          </cell>
          <cell r="C646" t="str">
            <v>AUX_RHES-SHSTG-ELC_OUT</v>
          </cell>
          <cell r="D646">
            <v>0.53008925449003208</v>
          </cell>
          <cell r="E646">
            <v>0.6313180535132128</v>
          </cell>
          <cell r="F646">
            <v>0.17959603077462241</v>
          </cell>
          <cell r="G646">
            <v>3.6174089789599712E-2</v>
          </cell>
          <cell r="H646">
            <v>8.2955003899772418E-4</v>
          </cell>
          <cell r="I646">
            <v>2.2115789192659439E-4</v>
          </cell>
          <cell r="J646">
            <v>1.58447256648975E-4</v>
          </cell>
        </row>
        <row r="647">
          <cell r="A647" t="str">
            <v>RHES-SHSTG-ELC</v>
          </cell>
          <cell r="B647" t="str">
            <v>VAR_fin</v>
          </cell>
          <cell r="C647" t="str">
            <v>RHES-SHAELCB</v>
          </cell>
          <cell r="D647">
            <v>0.5297928129241225</v>
          </cell>
          <cell r="E647">
            <v>0.63067963797189186</v>
          </cell>
          <cell r="F647">
            <v>0.17938942916815809</v>
          </cell>
          <cell r="G647">
            <v>3.6128416633502997E-2</v>
          </cell>
          <cell r="H647">
            <v>8.4048405475964372E-4</v>
          </cell>
          <cell r="I647">
            <v>2.3584990613070514E-4</v>
          </cell>
          <cell r="J647">
            <v>1.6834395769230526E-4</v>
          </cell>
        </row>
        <row r="648">
          <cell r="A648" t="str">
            <v>RHES-SHSTG-ELC</v>
          </cell>
          <cell r="B648" t="str">
            <v>VAR_ncap</v>
          </cell>
          <cell r="C648" t="str">
            <v>-</v>
          </cell>
          <cell r="D648">
            <v>6.88739305719369E-2</v>
          </cell>
          <cell r="E648">
            <v>3.2641418207871698E-4</v>
          </cell>
          <cell r="F648">
            <v>1.5052972513668E-4</v>
          </cell>
          <cell r="G648">
            <v>2.49891745982145E-4</v>
          </cell>
          <cell r="H648">
            <v>3.0069609969804901E-4</v>
          </cell>
          <cell r="I648">
            <v>1.5022993189835499E-4</v>
          </cell>
          <cell r="J648">
            <v>7.8281246783441194E-5</v>
          </cell>
        </row>
        <row r="649">
          <cell r="A649" t="str">
            <v>RHES-SHSTG-ELC</v>
          </cell>
          <cell r="B649" t="str">
            <v>VAR_cap</v>
          </cell>
          <cell r="C649" t="str">
            <v>-</v>
          </cell>
          <cell r="D649">
            <v>6.88739305719369E-2</v>
          </cell>
          <cell r="E649">
            <v>6.4071779155801201E-2</v>
          </cell>
          <cell r="F649">
            <v>2.0330805347952695E-2</v>
          </cell>
          <cell r="G649">
            <v>4.8407277420970118E-3</v>
          </cell>
          <cell r="H649">
            <v>3.649265582111004E-4</v>
          </cell>
          <cell r="I649">
            <v>9.322226436724501E-5</v>
          </cell>
          <cell r="J649">
            <v>5.0910602193380975E-5</v>
          </cell>
        </row>
        <row r="650">
          <cell r="A650" t="str">
            <v>RHES-SHCONBR4</v>
          </cell>
          <cell r="B650" t="str">
            <v>VAR_fout</v>
          </cell>
          <cell r="C650" t="str">
            <v>RHES-SHCON</v>
          </cell>
          <cell r="E650">
            <v>0.42719032628686981</v>
          </cell>
          <cell r="F650">
            <v>0.26974016444879834</v>
          </cell>
          <cell r="G650">
            <v>0.41754170204253577</v>
          </cell>
          <cell r="H650">
            <v>0.4229898426191287</v>
          </cell>
          <cell r="I650">
            <v>0.42396659656042174</v>
          </cell>
          <cell r="J650">
            <v>0.24599393984032722</v>
          </cell>
        </row>
        <row r="651">
          <cell r="A651" t="str">
            <v>RHES-SHCONBR4</v>
          </cell>
          <cell r="B651" t="str">
            <v>VAR_fin</v>
          </cell>
          <cell r="C651" t="str">
            <v>CON</v>
          </cell>
          <cell r="E651">
            <v>0.42719032628686981</v>
          </cell>
          <cell r="F651">
            <v>0.26974016444879834</v>
          </cell>
          <cell r="G651">
            <v>0.41754170204253577</v>
          </cell>
          <cell r="H651">
            <v>0.4229898426191287</v>
          </cell>
          <cell r="I651">
            <v>0.42396659656042174</v>
          </cell>
          <cell r="J651">
            <v>0.24599393984032722</v>
          </cell>
        </row>
        <row r="652">
          <cell r="A652" t="str">
            <v>RHES-SHCONBR4</v>
          </cell>
          <cell r="B652" t="str">
            <v>VAR_ncap</v>
          </cell>
          <cell r="C652" t="str">
            <v>-</v>
          </cell>
          <cell r="E652">
            <v>3.4471174280925797E-2</v>
          </cell>
          <cell r="F652">
            <v>3.8389121687232898E-6</v>
          </cell>
          <cell r="G652">
            <v>4.2276104040918802E-6</v>
          </cell>
          <cell r="H652">
            <v>1.74268662648958E-6</v>
          </cell>
          <cell r="I652">
            <v>1.23180678336049E-6</v>
          </cell>
          <cell r="J652">
            <v>1.28415696525153E-5</v>
          </cell>
        </row>
        <row r="653">
          <cell r="A653" t="str">
            <v>RHES-SHCONBR4</v>
          </cell>
          <cell r="B653" t="str">
            <v>VAR_cap</v>
          </cell>
          <cell r="C653" t="str">
            <v>-</v>
          </cell>
          <cell r="E653">
            <v>3.4471174280925797E-2</v>
          </cell>
          <cell r="F653">
            <v>3.447161791036446E-2</v>
          </cell>
          <cell r="G653">
            <v>3.4474278481411359E-2</v>
          </cell>
          <cell r="H653">
            <v>3.4476289819173708E-2</v>
          </cell>
          <cell r="I653">
            <v>3.4477902805290228E-2</v>
          </cell>
          <cell r="J653">
            <v>1.9948081996822936E-2</v>
          </cell>
        </row>
        <row r="654">
          <cell r="A654" t="str">
            <v>ITOT-SWHCONBR6</v>
          </cell>
          <cell r="B654" t="str">
            <v>VAR_fout</v>
          </cell>
          <cell r="C654" t="str">
            <v>ITOT-SWHC</v>
          </cell>
          <cell r="I654">
            <v>8.2378661174811116E-3</v>
          </cell>
          <cell r="J654">
            <v>8.1812317038449794E-3</v>
          </cell>
        </row>
        <row r="655">
          <cell r="A655" t="str">
            <v>ITOT-SWHCONBR6</v>
          </cell>
          <cell r="B655" t="str">
            <v>VAR_fin</v>
          </cell>
          <cell r="C655" t="str">
            <v>CON</v>
          </cell>
          <cell r="I655">
            <v>8.2378661174811116E-3</v>
          </cell>
          <cell r="J655">
            <v>8.1812317038449794E-3</v>
          </cell>
        </row>
        <row r="656">
          <cell r="A656" t="str">
            <v>ITOT-SWHCONBR6</v>
          </cell>
          <cell r="B656" t="str">
            <v>VAR_ncap</v>
          </cell>
          <cell r="C656" t="str">
            <v>-</v>
          </cell>
          <cell r="I656">
            <v>4.32773591700378E-4</v>
          </cell>
          <cell r="J656">
            <v>1.18869905832451E-4</v>
          </cell>
        </row>
        <row r="657">
          <cell r="A657" t="str">
            <v>ITOT-SWHCONBR6</v>
          </cell>
          <cell r="B657" t="str">
            <v>VAR_cap</v>
          </cell>
          <cell r="C657" t="str">
            <v>-</v>
          </cell>
          <cell r="I657">
            <v>4.32773591700378E-4</v>
          </cell>
          <cell r="J657">
            <v>4.3294820957752401E-4</v>
          </cell>
        </row>
        <row r="658">
          <cell r="A658" t="str">
            <v>RHNM-SHNGAHP</v>
          </cell>
          <cell r="B658" t="str">
            <v>VAR_fout</v>
          </cell>
          <cell r="C658" t="str">
            <v>CO2_R</v>
          </cell>
          <cell r="F658">
            <v>7.8353906385904102</v>
          </cell>
          <cell r="G658">
            <v>19.908045329006899</v>
          </cell>
          <cell r="H658">
            <v>27.881776346250199</v>
          </cell>
          <cell r="I658">
            <v>34.258100795292599</v>
          </cell>
          <cell r="J658">
            <v>39.493709347659298</v>
          </cell>
        </row>
        <row r="659">
          <cell r="A659" t="str">
            <v>RHNM-SHNGAHP</v>
          </cell>
          <cell r="B659" t="str">
            <v>VAR_fout</v>
          </cell>
          <cell r="C659" t="str">
            <v>RHNM-SHANGAH</v>
          </cell>
          <cell r="F659">
            <v>0.26832022199109917</v>
          </cell>
          <cell r="G659">
            <v>0.70512638953435258</v>
          </cell>
          <cell r="H659">
            <v>1.0011233795037575</v>
          </cell>
          <cell r="I659">
            <v>1.2485418761496894</v>
          </cell>
          <cell r="J659">
            <v>1.484397892914036</v>
          </cell>
        </row>
        <row r="660">
          <cell r="A660" t="str">
            <v>RHNM-SHNGAHP</v>
          </cell>
          <cell r="B660" t="str">
            <v>VAR_fin</v>
          </cell>
          <cell r="C660" t="str">
            <v>RNGA</v>
          </cell>
          <cell r="F660">
            <v>0.13892536593245411</v>
          </cell>
          <cell r="G660">
            <v>0.35297952711005165</v>
          </cell>
          <cell r="H660">
            <v>0.49435773663564103</v>
          </cell>
          <cell r="I660">
            <v>0.60741313466830815</v>
          </cell>
          <cell r="J660">
            <v>0.70024307354005833</v>
          </cell>
        </row>
        <row r="661">
          <cell r="A661" t="str">
            <v>RHNM-SHNGAHP</v>
          </cell>
          <cell r="B661" t="str">
            <v>VAR_fin</v>
          </cell>
          <cell r="C661" t="str">
            <v>RHNMELCHPC</v>
          </cell>
          <cell r="F661">
            <v>0.26832022199109917</v>
          </cell>
          <cell r="G661">
            <v>0.70512638953435258</v>
          </cell>
          <cell r="H661">
            <v>1.0011233795037575</v>
          </cell>
          <cell r="I661">
            <v>1.2485418761496894</v>
          </cell>
          <cell r="J661">
            <v>1.484397892914036</v>
          </cell>
        </row>
        <row r="662">
          <cell r="A662" t="str">
            <v>RHNM-SHNGAHP</v>
          </cell>
          <cell r="B662" t="str">
            <v>VAR_ncap</v>
          </cell>
          <cell r="C662" t="str">
            <v>-</v>
          </cell>
          <cell r="E662">
            <v>2.2913636467667201E-5</v>
          </cell>
          <cell r="F662">
            <v>2.2597040185519002E-2</v>
          </cell>
          <cell r="G662">
            <v>3.30596398867994E-2</v>
          </cell>
          <cell r="H662">
            <v>2.39410162536331E-2</v>
          </cell>
          <cell r="I662">
            <v>4.9057259422380699E-2</v>
          </cell>
          <cell r="J662">
            <v>7.0768536989174596E-2</v>
          </cell>
        </row>
        <row r="663">
          <cell r="A663" t="str">
            <v>RHNM-SHNGAHP</v>
          </cell>
          <cell r="B663" t="str">
            <v>VAR_cap</v>
          </cell>
          <cell r="C663" t="str">
            <v>-</v>
          </cell>
          <cell r="E663">
            <v>2.2913636467667201E-5</v>
          </cell>
          <cell r="F663">
            <v>2.2616894191404936E-2</v>
          </cell>
          <cell r="G663">
            <v>5.5674508474238327E-2</v>
          </cell>
          <cell r="H663">
            <v>7.95948988536202E-2</v>
          </cell>
          <cell r="I663">
            <v>9.9569175874483273E-2</v>
          </cell>
          <cell r="J663">
            <v>0.11649319277519558</v>
          </cell>
        </row>
        <row r="664">
          <cell r="A664" t="str">
            <v>RHES-SHCONBR5</v>
          </cell>
          <cell r="B664" t="str">
            <v>VAR_fout</v>
          </cell>
          <cell r="C664" t="str">
            <v>RHES-SHCON</v>
          </cell>
          <cell r="E664">
            <v>1.219398144412339E-2</v>
          </cell>
          <cell r="F664">
            <v>5.7618477899008744E-3</v>
          </cell>
          <cell r="G664">
            <v>7.9357623612823242E-3</v>
          </cell>
          <cell r="H664">
            <v>9.5263491553376212E-3</v>
          </cell>
          <cell r="I664">
            <v>1.0071649249664255E-2</v>
          </cell>
          <cell r="J664">
            <v>6.2160240300213644E-3</v>
          </cell>
        </row>
        <row r="665">
          <cell r="A665" t="str">
            <v>RHES-SHCONBR5</v>
          </cell>
          <cell r="B665" t="str">
            <v>VAR_fin</v>
          </cell>
          <cell r="C665" t="str">
            <v>CON</v>
          </cell>
          <cell r="E665">
            <v>1.219398144412339E-2</v>
          </cell>
          <cell r="F665">
            <v>5.7618477899008744E-3</v>
          </cell>
          <cell r="G665">
            <v>7.9357623612823242E-3</v>
          </cell>
          <cell r="H665">
            <v>9.5263491553376212E-3</v>
          </cell>
          <cell r="I665">
            <v>1.0071649249664255E-2</v>
          </cell>
          <cell r="J665">
            <v>6.2160240300213644E-3</v>
          </cell>
        </row>
        <row r="666">
          <cell r="A666" t="str">
            <v>RHES-SHCONBR5</v>
          </cell>
          <cell r="B666" t="str">
            <v>VAR_ncap</v>
          </cell>
          <cell r="C666" t="str">
            <v>-</v>
          </cell>
          <cell r="E666">
            <v>9.42221424470084E-4</v>
          </cell>
          <cell r="F666">
            <v>4.3802656029921201E-6</v>
          </cell>
          <cell r="G666">
            <v>3.2652298940248502E-6</v>
          </cell>
          <cell r="H666">
            <v>9.8030485743465506E-7</v>
          </cell>
          <cell r="I666">
            <v>7.5665411899463002E-7</v>
          </cell>
          <cell r="J666">
            <v>2.32156304143718E-6</v>
          </cell>
        </row>
        <row r="667">
          <cell r="A667" t="str">
            <v>RHES-SHCONBR5</v>
          </cell>
          <cell r="B667" t="str">
            <v>VAR_cap</v>
          </cell>
          <cell r="C667" t="str">
            <v>-</v>
          </cell>
          <cell r="E667">
            <v>9.42221424470084E-4</v>
          </cell>
          <cell r="F667">
            <v>9.4496067151163135E-4</v>
          </cell>
          <cell r="G667">
            <v>9.4678829516984457E-4</v>
          </cell>
          <cell r="H667">
            <v>9.4729355690389636E-4</v>
          </cell>
          <cell r="I667">
            <v>9.4795248776572121E-4</v>
          </cell>
          <cell r="J667">
            <v>5.5306154596415397E-4</v>
          </cell>
        </row>
        <row r="668">
          <cell r="A668" t="str">
            <v>RHNS-SHCONBR</v>
          </cell>
          <cell r="B668" t="str">
            <v>VAR_fout</v>
          </cell>
          <cell r="C668" t="str">
            <v>RHNS-SHCON</v>
          </cell>
          <cell r="F668">
            <v>2.1804404966817584E-2</v>
          </cell>
          <cell r="G668">
            <v>2.1784211677031373E-2</v>
          </cell>
          <cell r="H668">
            <v>2.4626714860505806E-2</v>
          </cell>
          <cell r="I668">
            <v>2.656002919064674E-2</v>
          </cell>
          <cell r="J668">
            <v>2.6309800984479926E-2</v>
          </cell>
        </row>
        <row r="669">
          <cell r="A669" t="str">
            <v>RHNS-SHCONBR</v>
          </cell>
          <cell r="B669" t="str">
            <v>VAR_fin</v>
          </cell>
          <cell r="C669" t="str">
            <v>CON</v>
          </cell>
          <cell r="F669">
            <v>2.1804404966817584E-2</v>
          </cell>
          <cell r="G669">
            <v>2.1784211677031373E-2</v>
          </cell>
          <cell r="H669">
            <v>2.4626714860505806E-2</v>
          </cell>
          <cell r="I669">
            <v>2.656002919064674E-2</v>
          </cell>
          <cell r="J669">
            <v>2.6309800984479926E-2</v>
          </cell>
        </row>
        <row r="670">
          <cell r="A670" t="str">
            <v>RHNS-SHCONBR</v>
          </cell>
          <cell r="B670" t="str">
            <v>VAR_ncap</v>
          </cell>
          <cell r="C670" t="str">
            <v>-</v>
          </cell>
          <cell r="E670">
            <v>9.1127285801447301E-7</v>
          </cell>
          <cell r="F670">
            <v>1.6262558745084601E-3</v>
          </cell>
          <cell r="G670">
            <v>5.2673782255271703E-6</v>
          </cell>
          <cell r="H670">
            <v>2.1145998930683599E-4</v>
          </cell>
          <cell r="I670">
            <v>1.21005970674019E-4</v>
          </cell>
          <cell r="J670">
            <v>1.18177636729728E-6</v>
          </cell>
        </row>
        <row r="671">
          <cell r="A671" t="str">
            <v>RHNS-SHCONBR</v>
          </cell>
          <cell r="B671" t="str">
            <v>VAR_cap</v>
          </cell>
          <cell r="C671" t="str">
            <v>-</v>
          </cell>
          <cell r="E671">
            <v>9.1127285801447301E-7</v>
          </cell>
          <cell r="F671">
            <v>1.6267066060078916E-3</v>
          </cell>
          <cell r="G671">
            <v>1.6315006195571852E-3</v>
          </cell>
          <cell r="H671">
            <v>1.8421886220566933E-3</v>
          </cell>
          <cell r="I671">
            <v>1.9631990766688328E-3</v>
          </cell>
          <cell r="J671">
            <v>1.9651189173783929E-3</v>
          </cell>
        </row>
        <row r="672">
          <cell r="A672" t="str">
            <v>D-RHEM_SOLELC</v>
          </cell>
          <cell r="B672" t="str">
            <v>VAR_fout</v>
          </cell>
          <cell r="C672" t="str">
            <v>ELC5</v>
          </cell>
          <cell r="D672">
            <v>3.0602681631719215E-2</v>
          </cell>
          <cell r="E672">
            <v>1.363613888344716E-2</v>
          </cell>
          <cell r="F672">
            <v>1.5015768203766993E-2</v>
          </cell>
          <cell r="G672">
            <v>9.4164082334484266E-3</v>
          </cell>
          <cell r="H672">
            <v>1.8361965205644148E-2</v>
          </cell>
          <cell r="I672">
            <v>6.3042827518337702E-2</v>
          </cell>
          <cell r="J672">
            <v>7.1272691781815167E-2</v>
          </cell>
        </row>
        <row r="673">
          <cell r="A673" t="str">
            <v>D-RHEM_SOLELC</v>
          </cell>
          <cell r="B673" t="str">
            <v>VAR_fout</v>
          </cell>
          <cell r="C673" t="str">
            <v>RHEM_ELC</v>
          </cell>
          <cell r="D673">
            <v>0.83188054415412926</v>
          </cell>
          <cell r="E673">
            <v>1.2740056510112312</v>
          </cell>
          <cell r="F673">
            <v>1.5284333443975464</v>
          </cell>
          <cell r="G673">
            <v>1.6636362413438959</v>
          </cell>
          <cell r="H673">
            <v>1.7466963552886028</v>
          </cell>
          <cell r="I673">
            <v>5.6746051703375127</v>
          </cell>
          <cell r="J673">
            <v>6.1727440760680841</v>
          </cell>
        </row>
        <row r="674">
          <cell r="A674" t="str">
            <v>D-RHEM_SOLELC</v>
          </cell>
          <cell r="B674" t="str">
            <v>VAR_fin</v>
          </cell>
          <cell r="C674" t="str">
            <v>RHEM_SOL_ELC</v>
          </cell>
          <cell r="D674">
            <v>0.86248322578584768</v>
          </cell>
          <cell r="E674">
            <v>1.2875876906677814</v>
          </cell>
          <cell r="F674">
            <v>1.5434491126013148</v>
          </cell>
          <cell r="G674">
            <v>1.6730526495773443</v>
          </cell>
          <cell r="H674">
            <v>1.765058320494246</v>
          </cell>
          <cell r="I674">
            <v>5.7376479978558477</v>
          </cell>
          <cell r="J674">
            <v>6.2440167678499039</v>
          </cell>
        </row>
        <row r="675">
          <cell r="A675" t="str">
            <v>ITOT-SWHCONBR7</v>
          </cell>
          <cell r="B675" t="str">
            <v>VAR_fout</v>
          </cell>
          <cell r="C675" t="str">
            <v>ITOT-ELS</v>
          </cell>
          <cell r="J675">
            <v>0.28857237126714569</v>
          </cell>
        </row>
        <row r="676">
          <cell r="A676" t="str">
            <v>ITOT-SWHCONBR7</v>
          </cell>
          <cell r="B676" t="str">
            <v>VAR_fout</v>
          </cell>
          <cell r="C676" t="str">
            <v>ITOT-SWHC</v>
          </cell>
          <cell r="J676">
            <v>5.0320572282824209E-2</v>
          </cell>
        </row>
        <row r="677">
          <cell r="A677" t="str">
            <v>ITOT-SWHCONBR7</v>
          </cell>
          <cell r="B677" t="str">
            <v>VAR_fin</v>
          </cell>
          <cell r="C677" t="str">
            <v>CON</v>
          </cell>
          <cell r="J677">
            <v>0.33889294354997002</v>
          </cell>
        </row>
        <row r="678">
          <cell r="A678" t="str">
            <v>ITOT-SWHCONBR7</v>
          </cell>
          <cell r="B678" t="str">
            <v>VAR_ncap</v>
          </cell>
          <cell r="C678" t="str">
            <v>-</v>
          </cell>
          <cell r="J678">
            <v>1.8425087430001898E-2</v>
          </cell>
        </row>
        <row r="679">
          <cell r="A679" t="str">
            <v>ITOT-SWHCONBR7</v>
          </cell>
          <cell r="B679" t="str">
            <v>VAR_cap</v>
          </cell>
          <cell r="C679" t="str">
            <v>-</v>
          </cell>
          <cell r="J679">
            <v>1.8425087430001898E-2</v>
          </cell>
        </row>
        <row r="680">
          <cell r="A680" t="str">
            <v>RHNS-SHSTG-ELCHP</v>
          </cell>
          <cell r="B680" t="str">
            <v>VAR_fout</v>
          </cell>
          <cell r="C680" t="str">
            <v>RHNS-SHAELCH</v>
          </cell>
          <cell r="E680">
            <v>2.5162947845215836E-3</v>
          </cell>
          <cell r="F680">
            <v>9.1472312291248595E-2</v>
          </cell>
          <cell r="G680">
            <v>0.18618338565279194</v>
          </cell>
          <cell r="H680">
            <v>0.16280076219592507</v>
          </cell>
          <cell r="I680">
            <v>0.25586168242670643</v>
          </cell>
          <cell r="J680">
            <v>0.34451577612601214</v>
          </cell>
        </row>
        <row r="681">
          <cell r="A681" t="str">
            <v>RHNS-SHSTG-ELCHP</v>
          </cell>
          <cell r="B681" t="str">
            <v>VAR_fout</v>
          </cell>
          <cell r="C681" t="str">
            <v>AUX_RHNS-SHSTG-ELCHP_OUT</v>
          </cell>
          <cell r="E681">
            <v>2.5188110793061052E-3</v>
          </cell>
          <cell r="F681">
            <v>9.1563784603539811E-2</v>
          </cell>
          <cell r="G681">
            <v>0.18636956903844473</v>
          </cell>
          <cell r="H681">
            <v>0.16296356295812098</v>
          </cell>
          <cell r="I681">
            <v>0.25611754410913318</v>
          </cell>
          <cell r="J681">
            <v>0.34486029190213768</v>
          </cell>
        </row>
        <row r="682">
          <cell r="A682" t="str">
            <v>RHNS-SHSTG-ELCHP</v>
          </cell>
          <cell r="B682" t="str">
            <v>VAR_fin</v>
          </cell>
          <cell r="C682" t="str">
            <v>RHNS-SHAELCH</v>
          </cell>
          <cell r="E682">
            <v>2.5564377092235978E-3</v>
          </cell>
          <cell r="F682">
            <v>9.1460945652685657E-2</v>
          </cell>
          <cell r="G682">
            <v>0.18623201290343983</v>
          </cell>
          <cell r="H682">
            <v>0.16287666259466932</v>
          </cell>
          <cell r="I682">
            <v>0.25595327299316467</v>
          </cell>
          <cell r="J682">
            <v>0.34461062266255443</v>
          </cell>
        </row>
        <row r="683">
          <cell r="A683" t="str">
            <v>RHNS-SHSTG-ELCHP</v>
          </cell>
          <cell r="B683" t="str">
            <v>VAR_ncap</v>
          </cell>
          <cell r="C683" t="str">
            <v>-</v>
          </cell>
          <cell r="D683">
            <v>3.5059836027373498E-4</v>
          </cell>
          <cell r="E683">
            <v>4.7122400688783E-4</v>
          </cell>
          <cell r="F683">
            <v>1.3975954719076899E-2</v>
          </cell>
          <cell r="G683">
            <v>8.3662255275539204E-3</v>
          </cell>
          <cell r="H683">
            <v>7.30979140562523E-3</v>
          </cell>
          <cell r="I683">
            <v>1.96481274032408E-2</v>
          </cell>
          <cell r="J683">
            <v>2.5141390903580099E-2</v>
          </cell>
        </row>
        <row r="684">
          <cell r="A684" t="str">
            <v>RHNS-SHSTG-ELCHP</v>
          </cell>
          <cell r="B684" t="str">
            <v>VAR_cap</v>
          </cell>
          <cell r="C684" t="str">
            <v>-</v>
          </cell>
          <cell r="D684">
            <v>3.5059836027373498E-4</v>
          </cell>
          <cell r="E684">
            <v>6.1120747221287699E-4</v>
          </cell>
          <cell r="F684">
            <v>1.436895489819014E-2</v>
          </cell>
          <cell r="G684">
            <v>2.2454725487949131E-2</v>
          </cell>
          <cell r="H684">
            <v>2.876899991836426E-2</v>
          </cell>
          <cell r="I684">
            <v>3.40946022045217E-2</v>
          </cell>
          <cell r="J684">
            <v>4.187744045731101E-2</v>
          </cell>
        </row>
        <row r="685">
          <cell r="A685" t="str">
            <v>RHNS-SHSOLBR</v>
          </cell>
          <cell r="B685" t="str">
            <v>VAR_fout</v>
          </cell>
          <cell r="C685" t="str">
            <v>RHNS-SHASOL</v>
          </cell>
          <cell r="E685">
            <v>1.3504348156846839E-2</v>
          </cell>
          <cell r="F685">
            <v>2.1808879269080136E-4</v>
          </cell>
          <cell r="G685">
            <v>3.2929264949403512E-4</v>
          </cell>
          <cell r="H685">
            <v>3.0432361620090633E-4</v>
          </cell>
          <cell r="I685">
            <v>3.0337961423395308E-4</v>
          </cell>
          <cell r="J685">
            <v>5.5031872549270958E-4</v>
          </cell>
        </row>
        <row r="686">
          <cell r="A686" t="str">
            <v>RHNS-SHSOLBR</v>
          </cell>
          <cell r="B686" t="str">
            <v>VAR_fin</v>
          </cell>
          <cell r="C686" t="str">
            <v>SOL</v>
          </cell>
          <cell r="E686">
            <v>1.3504348156846839E-2</v>
          </cell>
          <cell r="F686">
            <v>2.1808879269080136E-4</v>
          </cell>
          <cell r="G686">
            <v>3.2929264949403512E-4</v>
          </cell>
          <cell r="H686">
            <v>3.0432361620090633E-4</v>
          </cell>
          <cell r="I686">
            <v>3.0337961423395308E-4</v>
          </cell>
          <cell r="J686">
            <v>5.5031872549270958E-4</v>
          </cell>
        </row>
        <row r="687">
          <cell r="A687" t="str">
            <v>RHNS-SHSOLBR</v>
          </cell>
          <cell r="B687" t="str">
            <v>VAR_ncap</v>
          </cell>
          <cell r="C687" t="str">
            <v>-</v>
          </cell>
          <cell r="E687">
            <v>2.9730898061927202E-3</v>
          </cell>
          <cell r="F687">
            <v>7.8337957806922298E-4</v>
          </cell>
          <cell r="G687">
            <v>2.38610303247884E-3</v>
          </cell>
          <cell r="H687">
            <v>1.70905423232125E-4</v>
          </cell>
          <cell r="I687">
            <v>5.3890265069170501E-4</v>
          </cell>
          <cell r="J687">
            <v>1.1327662801622099E-3</v>
          </cell>
        </row>
        <row r="688">
          <cell r="A688" t="str">
            <v>RHNS-SHSOLBR</v>
          </cell>
          <cell r="B688" t="str">
            <v>VAR_cap</v>
          </cell>
          <cell r="C688" t="str">
            <v>-</v>
          </cell>
          <cell r="E688">
            <v>2.9730898061927202E-3</v>
          </cell>
          <cell r="F688">
            <v>3.747653372951821E-3</v>
          </cell>
          <cell r="G688">
            <v>6.1134384955136463E-3</v>
          </cell>
          <cell r="H688">
            <v>4.834410456736965E-3</v>
          </cell>
          <cell r="I688">
            <v>2.4686312240867485E-3</v>
          </cell>
          <cell r="J688">
            <v>1.5913606537968385E-3</v>
          </cell>
        </row>
        <row r="689">
          <cell r="A689" t="str">
            <v>RHES-SHPLTBR</v>
          </cell>
          <cell r="B689" t="str">
            <v>VAR_fout</v>
          </cell>
          <cell r="C689" t="str">
            <v>RHES-SHPLT</v>
          </cell>
          <cell r="D689">
            <v>1.295854771101246</v>
          </cell>
          <cell r="E689">
            <v>1.4869235109984249</v>
          </cell>
          <cell r="F689">
            <v>3.1218965082513234E-2</v>
          </cell>
          <cell r="G689">
            <v>3.9855511800673302E-2</v>
          </cell>
          <cell r="H689">
            <v>4.4080522791272322E-2</v>
          </cell>
          <cell r="I689">
            <v>4.965737702321802E-2</v>
          </cell>
          <cell r="J689">
            <v>4.4599042618430937E-2</v>
          </cell>
        </row>
        <row r="690">
          <cell r="A690" t="str">
            <v>RHES-SHPLTBR</v>
          </cell>
          <cell r="B690" t="str">
            <v>VAR_fin</v>
          </cell>
          <cell r="C690" t="str">
            <v>RPLT</v>
          </cell>
          <cell r="D690">
            <v>1.4398386345569405</v>
          </cell>
          <cell r="E690">
            <v>1.6521372344426937</v>
          </cell>
          <cell r="F690">
            <v>4.2499048757309296E-2</v>
          </cell>
          <cell r="G690">
            <v>5.3878263845427141E-2</v>
          </cell>
          <cell r="H690">
            <v>5.9267439135641795E-2</v>
          </cell>
          <cell r="I690">
            <v>6.6113541271583587E-2</v>
          </cell>
          <cell r="J690">
            <v>5.8294830873594605E-2</v>
          </cell>
        </row>
        <row r="691">
          <cell r="A691" t="str">
            <v>RHES-SHPLTBR</v>
          </cell>
          <cell r="B691" t="str">
            <v>VAR_ncap</v>
          </cell>
          <cell r="C691" t="str">
            <v>-</v>
          </cell>
          <cell r="E691">
            <v>1.5549782633415299E-2</v>
          </cell>
          <cell r="F691">
            <v>1.4255671636628001E-6</v>
          </cell>
          <cell r="G691">
            <v>2.0478858254826799E-5</v>
          </cell>
          <cell r="H691">
            <v>1.1991573411629199E-3</v>
          </cell>
          <cell r="I691">
            <v>3.0317235792392998E-3</v>
          </cell>
          <cell r="J691">
            <v>1.0178889561429699E-3</v>
          </cell>
        </row>
        <row r="692">
          <cell r="A692" t="str">
            <v>RHES-SHPLTBR</v>
          </cell>
          <cell r="B692" t="str">
            <v>VAR_cap</v>
          </cell>
          <cell r="C692" t="str">
            <v>-</v>
          </cell>
          <cell r="D692">
            <v>0.104681131456585</v>
          </cell>
          <cell r="E692">
            <v>0.12023014126059102</v>
          </cell>
          <cell r="F692">
            <v>5.1320592504229962E-3</v>
          </cell>
          <cell r="G692">
            <v>5.1489561694068042E-3</v>
          </cell>
          <cell r="H692">
            <v>3.8446841449319147E-3</v>
          </cell>
          <cell r="I692">
            <v>4.2401972236099225E-3</v>
          </cell>
          <cell r="J692">
            <v>3.7231074795563983E-3</v>
          </cell>
        </row>
        <row r="693">
          <cell r="A693" t="str">
            <v>RHES-SHCONBR6</v>
          </cell>
          <cell r="B693" t="str">
            <v>VAR_fout</v>
          </cell>
          <cell r="C693" t="str">
            <v>RHES-SHCON</v>
          </cell>
          <cell r="E693">
            <v>4.702164922596082E-3</v>
          </cell>
          <cell r="F693">
            <v>2.3301709820210351E-3</v>
          </cell>
          <cell r="G693">
            <v>2.547739063032618E-3</v>
          </cell>
          <cell r="H693">
            <v>3.1725811509712839E-3</v>
          </cell>
          <cell r="I693">
            <v>3.3555548406647671E-3</v>
          </cell>
          <cell r="J693">
            <v>2.1672568806109329E-3</v>
          </cell>
        </row>
        <row r="694">
          <cell r="A694" t="str">
            <v>RHES-SHCONBR6</v>
          </cell>
          <cell r="B694" t="str">
            <v>VAR_fin</v>
          </cell>
          <cell r="C694" t="str">
            <v>CON</v>
          </cell>
          <cell r="E694">
            <v>4.702164922596082E-3</v>
          </cell>
          <cell r="F694">
            <v>2.3301709820210351E-3</v>
          </cell>
          <cell r="G694">
            <v>2.547739063032618E-3</v>
          </cell>
          <cell r="H694">
            <v>3.1725811509712839E-3</v>
          </cell>
          <cell r="I694">
            <v>3.3555548406647671E-3</v>
          </cell>
          <cell r="J694">
            <v>2.1672568806109329E-3</v>
          </cell>
        </row>
        <row r="695">
          <cell r="A695" t="str">
            <v>RHES-SHCONBR6</v>
          </cell>
          <cell r="B695" t="str">
            <v>VAR_ncap</v>
          </cell>
          <cell r="C695" t="str">
            <v>-</v>
          </cell>
          <cell r="E695">
            <v>3.3464388712328502E-4</v>
          </cell>
          <cell r="F695">
            <v>4.5663551966776498E-6</v>
          </cell>
          <cell r="G695">
            <v>4.1168360612629897E-6</v>
          </cell>
          <cell r="H695">
            <v>7.4127520406158104E-7</v>
          </cell>
          <cell r="I695">
            <v>5.7815495565137797E-7</v>
          </cell>
          <cell r="J695">
            <v>9.8245702698756808E-7</v>
          </cell>
        </row>
        <row r="696">
          <cell r="A696" t="str">
            <v>RHES-SHCONBR6</v>
          </cell>
          <cell r="B696" t="str">
            <v>VAR_cap</v>
          </cell>
          <cell r="C696" t="str">
            <v>-</v>
          </cell>
          <cell r="E696">
            <v>3.3464388712328502E-4</v>
          </cell>
          <cell r="F696">
            <v>3.3834867549139869E-4</v>
          </cell>
          <cell r="G696">
            <v>3.4163853170315103E-4</v>
          </cell>
          <cell r="H696">
            <v>3.4175192109478893E-4</v>
          </cell>
          <cell r="I696">
            <v>3.4198540953921336E-4</v>
          </cell>
          <cell r="J696">
            <v>2.0159359622804799E-4</v>
          </cell>
        </row>
        <row r="697">
          <cell r="A697" t="str">
            <v>RHSA-WHPLTBR</v>
          </cell>
          <cell r="B697" t="str">
            <v>VAR_fout</v>
          </cell>
          <cell r="C697" t="str">
            <v>RHSA-WHPLT</v>
          </cell>
          <cell r="D697">
            <v>0.16989588833677452</v>
          </cell>
          <cell r="E697">
            <v>0.19486198069243321</v>
          </cell>
          <cell r="F697">
            <v>7.5218280477073046E-2</v>
          </cell>
          <cell r="G697">
            <v>0.10246029685402656</v>
          </cell>
          <cell r="H697">
            <v>0.11497732526493928</v>
          </cell>
          <cell r="I697">
            <v>0.13337998528901565</v>
          </cell>
          <cell r="J697">
            <v>0.1338113885778231</v>
          </cell>
        </row>
        <row r="698">
          <cell r="A698" t="str">
            <v>RHSA-WHPLTBR</v>
          </cell>
          <cell r="B698" t="str">
            <v>VAR_fin</v>
          </cell>
          <cell r="C698" t="str">
            <v>RPLT</v>
          </cell>
          <cell r="D698">
            <v>0.27183342133883914</v>
          </cell>
          <cell r="E698">
            <v>0.31177916910789288</v>
          </cell>
          <cell r="F698">
            <v>0.16632247930164906</v>
          </cell>
          <cell r="G698">
            <v>0.22171337589810897</v>
          </cell>
          <cell r="H698">
            <v>0.24458773074716569</v>
          </cell>
          <cell r="I698">
            <v>0.27702685661190163</v>
          </cell>
          <cell r="J698">
            <v>0.26739448243480823</v>
          </cell>
        </row>
        <row r="699">
          <cell r="A699" t="str">
            <v>RHSA-WHPLTBR</v>
          </cell>
          <cell r="B699" t="str">
            <v>VAR_ncap</v>
          </cell>
          <cell r="C699" t="str">
            <v>-</v>
          </cell>
          <cell r="E699">
            <v>2.0553897283731399E-3</v>
          </cell>
          <cell r="F699">
            <v>2.8160175840249901E-6</v>
          </cell>
          <cell r="G699">
            <v>5.5789752107580097E-5</v>
          </cell>
          <cell r="H699">
            <v>5.1543637670751399E-3</v>
          </cell>
          <cell r="I699">
            <v>4.2613067975601901E-3</v>
          </cell>
          <cell r="J699">
            <v>4.0833458704561598E-3</v>
          </cell>
        </row>
        <row r="700">
          <cell r="A700" t="str">
            <v>RHSA-WHPLTBR</v>
          </cell>
          <cell r="B700" t="str">
            <v>VAR_cap</v>
          </cell>
          <cell r="C700" t="str">
            <v>-</v>
          </cell>
          <cell r="D700">
            <v>1.12410901121583E-2</v>
          </cell>
          <cell r="E700">
            <v>1.3295010748235789E-2</v>
          </cell>
          <cell r="F700">
            <v>9.7550191575930291E-3</v>
          </cell>
          <cell r="G700">
            <v>9.8012393293849514E-3</v>
          </cell>
          <cell r="H700">
            <v>8.2405302738208803E-3</v>
          </cell>
          <cell r="I700">
            <v>9.4459368275739818E-3</v>
          </cell>
          <cell r="J700">
            <v>9.3520477860262186E-3</v>
          </cell>
        </row>
        <row r="701">
          <cell r="A701" t="str">
            <v>ITOT-SWHCONBR8</v>
          </cell>
          <cell r="B701" t="str">
            <v>VAR_fout</v>
          </cell>
          <cell r="C701" t="str">
            <v>ITOT-ELS</v>
          </cell>
          <cell r="J701">
            <v>9.5952217130942149E-4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ITOT-SWHC</v>
          </cell>
          <cell r="J702">
            <v>3.7047349977923079E-3</v>
          </cell>
        </row>
        <row r="703">
          <cell r="A703" t="str">
            <v>ITOT-SWHCONBR8</v>
          </cell>
          <cell r="B703" t="str">
            <v>VAR_fin</v>
          </cell>
          <cell r="C703" t="str">
            <v>CON</v>
          </cell>
          <cell r="J703">
            <v>4.6642571691017289E-3</v>
          </cell>
        </row>
        <row r="704">
          <cell r="A704" t="str">
            <v>ITOT-SWHCONBR8</v>
          </cell>
          <cell r="B704" t="str">
            <v>VAR_ncap</v>
          </cell>
          <cell r="C704" t="str">
            <v>-</v>
          </cell>
          <cell r="J704">
            <v>2.39368402753215E-4</v>
          </cell>
        </row>
        <row r="705">
          <cell r="A705" t="str">
            <v>ITOT-SWHCONBR8</v>
          </cell>
          <cell r="B705" t="str">
            <v>VAR_cap</v>
          </cell>
          <cell r="C705" t="str">
            <v>-</v>
          </cell>
          <cell r="J705">
            <v>2.39368402753215E-4</v>
          </cell>
        </row>
        <row r="706">
          <cell r="A706" t="str">
            <v>D-SCOM_KEV_HFC_ELC_CHP</v>
          </cell>
          <cell r="B706" t="str">
            <v>VAR_fout</v>
          </cell>
          <cell r="C706" t="str">
            <v>ELC5</v>
          </cell>
          <cell r="G706">
            <v>6.1531255565292712E-3</v>
          </cell>
          <cell r="H706">
            <v>1.0008914265603566E-2</v>
          </cell>
          <cell r="I706">
            <v>9.2255190690913383E-3</v>
          </cell>
          <cell r="J706">
            <v>6.0769556431174918E-3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SCOM_ELC</v>
          </cell>
          <cell r="G707">
            <v>3.5615049735319093E-2</v>
          </cell>
          <cell r="H707">
            <v>3.2328713777826076E-2</v>
          </cell>
          <cell r="I707">
            <v>3.6546213093861073E-2</v>
          </cell>
          <cell r="J707">
            <v>2.7261951925990787E-2</v>
          </cell>
        </row>
        <row r="708">
          <cell r="A708" t="str">
            <v>D-SCOM_KEV_HFC_ELC_CHP</v>
          </cell>
          <cell r="B708" t="str">
            <v>VAR_fin</v>
          </cell>
          <cell r="C708" t="str">
            <v>SCOM_KEV_HFC_ELC_CHP</v>
          </cell>
          <cell r="G708">
            <v>4.153084339351247E-2</v>
          </cell>
          <cell r="H708">
            <v>4.2069369448235208E-2</v>
          </cell>
          <cell r="I708">
            <v>4.5559261549061349E-2</v>
          </cell>
          <cell r="J708">
            <v>3.31706434913226E-2</v>
          </cell>
        </row>
        <row r="709">
          <cell r="A709" t="str">
            <v>D-EH2R</v>
          </cell>
          <cell r="B709" t="str">
            <v>VAR_fout</v>
          </cell>
          <cell r="C709" t="str">
            <v>EH2</v>
          </cell>
          <cell r="I709">
            <v>7.5231098083459319E-2</v>
          </cell>
          <cell r="J709">
            <v>7.2695614714307355E-2</v>
          </cell>
        </row>
        <row r="710">
          <cell r="A710" t="str">
            <v>D-EH2R</v>
          </cell>
          <cell r="B710" t="str">
            <v>VAR_fin</v>
          </cell>
          <cell r="C710" t="str">
            <v>H2</v>
          </cell>
          <cell r="I710">
            <v>7.5231098083459319E-2</v>
          </cell>
          <cell r="J710">
            <v>7.2695614714307355E-2</v>
          </cell>
        </row>
        <row r="711">
          <cell r="A711" t="str">
            <v>D-EH2R</v>
          </cell>
          <cell r="B711" t="str">
            <v>VAR_ncap</v>
          </cell>
          <cell r="C711" t="str">
            <v>-</v>
          </cell>
          <cell r="H711">
            <v>2.4974600786690299E-5</v>
          </cell>
          <cell r="I711">
            <v>7.8927152429410907E-3</v>
          </cell>
          <cell r="J711">
            <v>4.12788610555703E-3</v>
          </cell>
        </row>
        <row r="712">
          <cell r="A712" t="str">
            <v>D-EH2R</v>
          </cell>
          <cell r="B712" t="str">
            <v>VAR_cap</v>
          </cell>
          <cell r="C712" t="str">
            <v>-</v>
          </cell>
          <cell r="H712">
            <v>2.4974600786690299E-5</v>
          </cell>
          <cell r="I712">
            <v>7.8971387922651091E-3</v>
          </cell>
          <cell r="J712">
            <v>6.8313087707672897E-3</v>
          </cell>
        </row>
        <row r="713">
          <cell r="A713" t="str">
            <v>SCOM-ELCSPECADV</v>
          </cell>
          <cell r="B713" t="str">
            <v>VAR_fout</v>
          </cell>
          <cell r="C713" t="str">
            <v>SCOM-ELS</v>
          </cell>
          <cell r="F713">
            <v>0.12775472640594937</v>
          </cell>
          <cell r="G713">
            <v>7.2037354353215646</v>
          </cell>
          <cell r="H713">
            <v>9.5334693624506297</v>
          </cell>
          <cell r="I713">
            <v>11.670756415220705</v>
          </cell>
          <cell r="J713">
            <v>15.078254096888426</v>
          </cell>
        </row>
        <row r="714">
          <cell r="A714" t="str">
            <v>SCOM-ELCSPECADV</v>
          </cell>
          <cell r="B714" t="str">
            <v>VAR_fin</v>
          </cell>
          <cell r="C714" t="str">
            <v>SCOM_ELC</v>
          </cell>
          <cell r="F714">
            <v>8.5169817603966275E-2</v>
          </cell>
          <cell r="G714">
            <v>4.8024902902143802</v>
          </cell>
          <cell r="H714">
            <v>6.3556462416337567</v>
          </cell>
          <cell r="I714">
            <v>7.7805042768138089</v>
          </cell>
          <cell r="J714">
            <v>10.052169397925605</v>
          </cell>
        </row>
        <row r="715">
          <cell r="A715" t="str">
            <v>SCOM-ELCSPECADV</v>
          </cell>
          <cell r="B715" t="str">
            <v>VAR_ncap</v>
          </cell>
          <cell r="C715" t="str">
            <v>-</v>
          </cell>
          <cell r="F715">
            <v>1.35160441509259E-2</v>
          </cell>
          <cell r="G715">
            <v>0.74791168923540896</v>
          </cell>
          <cell r="H715">
            <v>0.246257318036263</v>
          </cell>
          <cell r="I715">
            <v>0.225913001266799</v>
          </cell>
          <cell r="J715">
            <v>0.62762648910524899</v>
          </cell>
        </row>
        <row r="716">
          <cell r="A716" t="str">
            <v>SCOM-ELCSPECADV</v>
          </cell>
          <cell r="B716" t="str">
            <v>VAR_cap</v>
          </cell>
          <cell r="C716" t="str">
            <v>-</v>
          </cell>
          <cell r="F716">
            <v>1.35160441509259E-2</v>
          </cell>
          <cell r="G716">
            <v>0.76142640080978685</v>
          </cell>
          <cell r="H716">
            <v>1.0076798488607979</v>
          </cell>
          <cell r="I716">
            <v>1.2335875273544308</v>
          </cell>
          <cell r="J716">
            <v>1.5937591017116997</v>
          </cell>
        </row>
        <row r="717">
          <cell r="A717" t="str">
            <v>RHSA-WHLTHRD</v>
          </cell>
          <cell r="B717" t="str">
            <v>VAR_fout</v>
          </cell>
          <cell r="C717" t="str">
            <v>RHSA-WHLTHRD</v>
          </cell>
          <cell r="D717">
            <v>1.317421798800231</v>
          </cell>
          <cell r="E717">
            <v>1.4634149442644346</v>
          </cell>
          <cell r="F717">
            <v>0.95822315729957919</v>
          </cell>
          <cell r="G717">
            <v>1.4685529170094489</v>
          </cell>
          <cell r="H717">
            <v>1.691296241656431</v>
          </cell>
          <cell r="I717">
            <v>1.9678652574345392</v>
          </cell>
          <cell r="J717">
            <v>2.1740260077481506</v>
          </cell>
        </row>
        <row r="718">
          <cell r="A718" t="str">
            <v>RHSA-WHLTHRD</v>
          </cell>
          <cell r="B718" t="str">
            <v>VAR_fin</v>
          </cell>
          <cell r="C718" t="str">
            <v>RHSA_LTH</v>
          </cell>
          <cell r="D718">
            <v>1.7109374010392615</v>
          </cell>
          <cell r="E718">
            <v>1.8956152127777661</v>
          </cell>
          <cell r="F718">
            <v>1.7692406828360636</v>
          </cell>
          <cell r="G718">
            <v>2.6270673376655354</v>
          </cell>
          <cell r="H718">
            <v>2.9821383181373973</v>
          </cell>
          <cell r="I718">
            <v>3.424190234674144</v>
          </cell>
          <cell r="J718">
            <v>3.6974043320068222</v>
          </cell>
        </row>
        <row r="719">
          <cell r="A719" t="str">
            <v>RHSA-WHLTHRD</v>
          </cell>
          <cell r="B719" t="str">
            <v>VAR_ncap</v>
          </cell>
          <cell r="C719" t="str">
            <v>-</v>
          </cell>
          <cell r="E719">
            <v>0.11911678118655999</v>
          </cell>
          <cell r="F719">
            <v>5.8668189307129803E-2</v>
          </cell>
          <cell r="G719">
            <v>6.9455517172225895E-2</v>
          </cell>
          <cell r="H719">
            <v>9.8900040210645801E-2</v>
          </cell>
          <cell r="I719">
            <v>0.135608381102027</v>
          </cell>
          <cell r="J719">
            <v>0.14150416940549601</v>
          </cell>
        </row>
        <row r="720">
          <cell r="A720" t="str">
            <v>RHSA-WHLTHRD</v>
          </cell>
          <cell r="B720" t="str">
            <v>VAR_cap</v>
          </cell>
          <cell r="C720" t="str">
            <v>-</v>
          </cell>
          <cell r="D720">
            <v>0.13737412127568699</v>
          </cell>
          <cell r="E720">
            <v>0.16392851959142299</v>
          </cell>
          <cell r="F720">
            <v>0.10992729029965595</v>
          </cell>
          <cell r="G720">
            <v>0.13192841266689098</v>
          </cell>
          <cell r="H720">
            <v>0.17750542173317102</v>
          </cell>
          <cell r="I720">
            <v>0.23506341246074097</v>
          </cell>
          <cell r="J720">
            <v>0.25502295846188983</v>
          </cell>
        </row>
        <row r="721">
          <cell r="A721" t="str">
            <v>RHES-SHCONBR7</v>
          </cell>
          <cell r="B721" t="str">
            <v>VAR_fout</v>
          </cell>
          <cell r="C721" t="str">
            <v>RHES-SHCON</v>
          </cell>
          <cell r="E721">
            <v>4.5334515276114424E-3</v>
          </cell>
          <cell r="F721">
            <v>2.2504229887761245E-3</v>
          </cell>
          <cell r="G721">
            <v>2.4407068667816854E-3</v>
          </cell>
          <cell r="H721">
            <v>3.0413751328506968E-3</v>
          </cell>
          <cell r="I721">
            <v>3.2145188421648535E-3</v>
          </cell>
          <cell r="J721">
            <v>2.0805141960767558E-3</v>
          </cell>
        </row>
        <row r="722">
          <cell r="A722" t="str">
            <v>RHES-SHCONBR7</v>
          </cell>
          <cell r="B722" t="str">
            <v>VAR_fin</v>
          </cell>
          <cell r="C722" t="str">
            <v>CON</v>
          </cell>
          <cell r="E722">
            <v>4.5334515276114424E-3</v>
          </cell>
          <cell r="F722">
            <v>2.2504229887761245E-3</v>
          </cell>
          <cell r="G722">
            <v>2.4407068667816854E-3</v>
          </cell>
          <cell r="H722">
            <v>3.0413751328506968E-3</v>
          </cell>
          <cell r="I722">
            <v>3.2145188421648535E-3</v>
          </cell>
          <cell r="J722">
            <v>2.0805141960767558E-3</v>
          </cell>
        </row>
        <row r="723">
          <cell r="A723" t="str">
            <v>RHES-SHCONBR7</v>
          </cell>
          <cell r="B723" t="str">
            <v>VAR_ncap</v>
          </cell>
          <cell r="C723" t="str">
            <v>-</v>
          </cell>
          <cell r="E723">
            <v>3.2086524258227099E-4</v>
          </cell>
          <cell r="F723">
            <v>4.7181008282527197E-6</v>
          </cell>
          <cell r="G723">
            <v>3.8281603245428699E-6</v>
          </cell>
          <cell r="H723">
            <v>7.3147761425323099E-7</v>
          </cell>
          <cell r="I723">
            <v>5.7096997004336696E-7</v>
          </cell>
          <cell r="J723">
            <v>9.7167147599938699E-7</v>
          </cell>
        </row>
        <row r="724">
          <cell r="A724" t="str">
            <v>RHES-SHCONBR7</v>
          </cell>
          <cell r="B724" t="str">
            <v>VAR_cap</v>
          </cell>
          <cell r="C724" t="str">
            <v>-</v>
          </cell>
          <cell r="E724">
            <v>3.2086524258227099E-4</v>
          </cell>
          <cell r="F724">
            <v>3.2474141210250547E-4</v>
          </cell>
          <cell r="G724">
            <v>3.2776507424980725E-4</v>
          </cell>
          <cell r="H724">
            <v>3.2787167812590789E-4</v>
          </cell>
          <cell r="I724">
            <v>3.2809532302798439E-4</v>
          </cell>
          <cell r="J724">
            <v>1.9345459022175449E-4</v>
          </cell>
        </row>
        <row r="725">
          <cell r="A725" t="str">
            <v>ITOT-SWHCONBR9</v>
          </cell>
          <cell r="B725" t="str">
            <v>VAR_fout</v>
          </cell>
          <cell r="C725" t="str">
            <v>ITOT-ELS</v>
          </cell>
          <cell r="J725">
            <v>4.7070036543945761E-4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ITOT-SWHC</v>
          </cell>
          <cell r="J726">
            <v>2.7319421146882739E-3</v>
          </cell>
        </row>
        <row r="727">
          <cell r="A727" t="str">
            <v>ITOT-SWHCONBR9</v>
          </cell>
          <cell r="B727" t="str">
            <v>VAR_fin</v>
          </cell>
          <cell r="C727" t="str">
            <v>CON</v>
          </cell>
          <cell r="J727">
            <v>3.202642480127733E-3</v>
          </cell>
        </row>
        <row r="728">
          <cell r="A728" t="str">
            <v>ITOT-SWHCONBR9</v>
          </cell>
          <cell r="B728" t="str">
            <v>VAR_ncap</v>
          </cell>
          <cell r="C728" t="str">
            <v>-</v>
          </cell>
          <cell r="J728">
            <v>1.5985781837008701E-4</v>
          </cell>
        </row>
        <row r="729">
          <cell r="A729" t="str">
            <v>ITOT-SWHCONBR9</v>
          </cell>
          <cell r="B729" t="str">
            <v>VAR_cap</v>
          </cell>
          <cell r="C729" t="str">
            <v>-</v>
          </cell>
          <cell r="J729">
            <v>1.5985781837008701E-4</v>
          </cell>
        </row>
        <row r="730">
          <cell r="A730" t="str">
            <v>SCOM-SHPLTBR</v>
          </cell>
          <cell r="B730" t="str">
            <v>VAR_fout</v>
          </cell>
          <cell r="C730" t="str">
            <v>SCOM-SHPLT</v>
          </cell>
          <cell r="D730">
            <v>1.8771506481142195</v>
          </cell>
          <cell r="E730">
            <v>2.1601257705803349</v>
          </cell>
          <cell r="F730">
            <v>0.36389940041924101</v>
          </cell>
          <cell r="G730">
            <v>0.47075826318942304</v>
          </cell>
          <cell r="H730">
            <v>0.55067018125800105</v>
          </cell>
          <cell r="I730">
            <v>0.71175550133104226</v>
          </cell>
          <cell r="J730">
            <v>0.73431783870908807</v>
          </cell>
        </row>
        <row r="731">
          <cell r="A731" t="str">
            <v>SCOM-SHPLTBR</v>
          </cell>
          <cell r="B731" t="str">
            <v>VAR_fin</v>
          </cell>
          <cell r="C731" t="str">
            <v>SCOMPLTBRC</v>
          </cell>
          <cell r="D731">
            <v>1.8771506481142195</v>
          </cell>
          <cell r="E731">
            <v>2.1601257705803349</v>
          </cell>
          <cell r="F731">
            <v>0.36389940041924101</v>
          </cell>
          <cell r="G731">
            <v>0.47075826318942304</v>
          </cell>
          <cell r="H731">
            <v>0.55067018125800105</v>
          </cell>
          <cell r="I731">
            <v>0.71175550133104226</v>
          </cell>
          <cell r="J731">
            <v>0.73431783870908807</v>
          </cell>
        </row>
        <row r="732">
          <cell r="A732" t="str">
            <v>SCOM-SHPLTBR</v>
          </cell>
          <cell r="B732" t="str">
            <v>VAR_fin</v>
          </cell>
          <cell r="C732" t="str">
            <v>SPLT</v>
          </cell>
          <cell r="D732">
            <v>2.085722942349133</v>
          </cell>
          <cell r="E732">
            <v>2.4001397450892603</v>
          </cell>
          <cell r="F732">
            <v>0.55263559063612044</v>
          </cell>
          <cell r="G732">
            <v>0.71187208479320641</v>
          </cell>
          <cell r="H732">
            <v>0.82403515484801937</v>
          </cell>
          <cell r="I732">
            <v>1.0493339945128586</v>
          </cell>
          <cell r="J732">
            <v>1.0770210024951972</v>
          </cell>
        </row>
        <row r="733">
          <cell r="A733" t="str">
            <v>SCOM-SHPLTBR</v>
          </cell>
          <cell r="B733" t="str">
            <v>VAR_ncap</v>
          </cell>
          <cell r="C733" t="str">
            <v>-</v>
          </cell>
          <cell r="D733">
            <v>2.42001420874426E-5</v>
          </cell>
          <cell r="E733">
            <v>2.6296532478893402E-2</v>
          </cell>
          <cell r="F733">
            <v>7.1920069004541697E-6</v>
          </cell>
          <cell r="G733">
            <v>1.2354847035082E-4</v>
          </cell>
          <cell r="H733">
            <v>2.6563161249790801E-2</v>
          </cell>
          <cell r="I733">
            <v>3.4095646131080799E-2</v>
          </cell>
          <cell r="J733">
            <v>2.6129909425879599E-2</v>
          </cell>
        </row>
        <row r="734">
          <cell r="A734" t="str">
            <v>SCOM-SHPLTBR</v>
          </cell>
          <cell r="B734" t="str">
            <v>VAR_cap</v>
          </cell>
          <cell r="C734" t="str">
            <v>-</v>
          </cell>
          <cell r="D734">
            <v>0.15053506826628146</v>
          </cell>
          <cell r="E734">
            <v>0.17682883389726675</v>
          </cell>
          <cell r="F734">
            <v>5.3415176111420312E-2</v>
          </cell>
          <cell r="G734">
            <v>5.3496630464142103E-2</v>
          </cell>
          <cell r="H734">
            <v>4.7128038551611295E-2</v>
          </cell>
          <cell r="I734">
            <v>6.0727610019926763E-2</v>
          </cell>
          <cell r="J734">
            <v>6.2100770636975236E-2</v>
          </cell>
        </row>
        <row r="735">
          <cell r="A735" t="str">
            <v>ITOT-SWHELCHP</v>
          </cell>
          <cell r="B735" t="str">
            <v>VAR_fout</v>
          </cell>
          <cell r="C735" t="str">
            <v>ITOT-SWHAELCH</v>
          </cell>
          <cell r="D735">
            <v>1.1089658977082459</v>
          </cell>
          <cell r="E735">
            <v>1.4009596081921354</v>
          </cell>
          <cell r="F735">
            <v>2.5872197533277985</v>
          </cell>
          <cell r="G735">
            <v>6.1196187278782199</v>
          </cell>
          <cell r="H735">
            <v>7.1241064974452311</v>
          </cell>
          <cell r="I735">
            <v>7.1510980652294061</v>
          </cell>
          <cell r="J735">
            <v>10.985126953951735</v>
          </cell>
        </row>
        <row r="736">
          <cell r="A736" t="str">
            <v>ITOT-SWHELCHP</v>
          </cell>
          <cell r="B736" t="str">
            <v>VAR_fin</v>
          </cell>
          <cell r="C736" t="str">
            <v>ITOT_ELC</v>
          </cell>
          <cell r="D736">
            <v>0.35993931544795071</v>
          </cell>
          <cell r="E736">
            <v>0.45111663226873028</v>
          </cell>
          <cell r="F736">
            <v>0.8233330057928927</v>
          </cell>
          <cell r="G736">
            <v>1.910132472519898</v>
          </cell>
          <cell r="H736">
            <v>2.1818553224150228</v>
          </cell>
          <cell r="I736">
            <v>2.1497020421991948</v>
          </cell>
          <cell r="J736">
            <v>3.1847043774483832</v>
          </cell>
        </row>
        <row r="737">
          <cell r="A737" t="str">
            <v>ITOT-SWHELCHP</v>
          </cell>
          <cell r="B737" t="str">
            <v>VAR_fin</v>
          </cell>
          <cell r="C737" t="str">
            <v>ITOTELCHPC</v>
          </cell>
          <cell r="D737">
            <v>1.1089658977082459</v>
          </cell>
          <cell r="E737">
            <v>1.4009596081921354</v>
          </cell>
          <cell r="F737">
            <v>2.5872197533277985</v>
          </cell>
          <cell r="G737">
            <v>6.1196187278782199</v>
          </cell>
          <cell r="H737">
            <v>7.1241064974452311</v>
          </cell>
          <cell r="I737">
            <v>7.1510980652294061</v>
          </cell>
          <cell r="J737">
            <v>10.985126953951735</v>
          </cell>
        </row>
        <row r="738">
          <cell r="A738" t="str">
            <v>ITOT-SWHELCHP</v>
          </cell>
          <cell r="B738" t="str">
            <v>VAR_ncap</v>
          </cell>
          <cell r="C738" t="str">
            <v>-</v>
          </cell>
          <cell r="E738">
            <v>1.9640885298630301E-2</v>
          </cell>
          <cell r="F738">
            <v>6.46038229487539E-2</v>
          </cell>
          <cell r="G738">
            <v>0.19045187201719899</v>
          </cell>
          <cell r="H738">
            <v>0.110148257767477</v>
          </cell>
          <cell r="I738">
            <v>0.148973436456597</v>
          </cell>
          <cell r="J738">
            <v>0.45648716449239801</v>
          </cell>
        </row>
        <row r="739">
          <cell r="A739" t="str">
            <v>ITOT-SWHELCHP</v>
          </cell>
          <cell r="B739" t="str">
            <v>VAR_cap</v>
          </cell>
          <cell r="C739" t="str">
            <v>-</v>
          </cell>
          <cell r="D739">
            <v>6.02631234918991E-2</v>
          </cell>
          <cell r="E739">
            <v>7.9896500982636717E-2</v>
          </cell>
          <cell r="F739">
            <v>0.14448120733309161</v>
          </cell>
          <cell r="G739">
            <v>0.33492623162922935</v>
          </cell>
          <cell r="H739">
            <v>0.39079807943908618</v>
          </cell>
          <cell r="I739">
            <v>0.40037926457609035</v>
          </cell>
          <cell r="J739">
            <v>0.61039341989344797</v>
          </cell>
        </row>
        <row r="740">
          <cell r="A740" t="str">
            <v>RHES-SHCONBR8</v>
          </cell>
          <cell r="B740" t="str">
            <v>VAR_fout</v>
          </cell>
          <cell r="C740" t="str">
            <v>RHES-SHCON</v>
          </cell>
          <cell r="E740">
            <v>1.1216755770109611E-3</v>
          </cell>
          <cell r="F740">
            <v>8.1062154735503877E-4</v>
          </cell>
          <cell r="G740">
            <v>6.7606058836596871E-4</v>
          </cell>
          <cell r="H740">
            <v>8.7302876645287413E-4</v>
          </cell>
          <cell r="I740">
            <v>8.5539195404111721E-4</v>
          </cell>
          <cell r="J740">
            <v>6.3181916283377147E-4</v>
          </cell>
        </row>
        <row r="741">
          <cell r="A741" t="str">
            <v>RHES-SHCONBR8</v>
          </cell>
          <cell r="B741" t="str">
            <v>VAR_fin</v>
          </cell>
          <cell r="C741" t="str">
            <v>CON</v>
          </cell>
          <cell r="E741">
            <v>1.1216755770109611E-3</v>
          </cell>
          <cell r="F741">
            <v>8.1062154735503877E-4</v>
          </cell>
          <cell r="G741">
            <v>6.7606058836596871E-4</v>
          </cell>
          <cell r="H741">
            <v>8.7302876645287413E-4</v>
          </cell>
          <cell r="I741">
            <v>8.5539195404111721E-4</v>
          </cell>
          <cell r="J741">
            <v>6.3181916283377147E-4</v>
          </cell>
        </row>
        <row r="742">
          <cell r="A742" t="str">
            <v>RHES-SHCONBR8</v>
          </cell>
          <cell r="B742" t="str">
            <v>VAR_ncap</v>
          </cell>
          <cell r="C742" t="str">
            <v>-</v>
          </cell>
          <cell r="E742">
            <v>4.2193557851983697E-5</v>
          </cell>
          <cell r="F742">
            <v>2.1417783969150799E-5</v>
          </cell>
          <cell r="G742">
            <v>3.0326668421138501E-6</v>
          </cell>
          <cell r="H742">
            <v>4.7715003409294903E-7</v>
          </cell>
          <cell r="I742">
            <v>3.2857033762492602E-7</v>
          </cell>
          <cell r="J742">
            <v>4.52013135773269E-7</v>
          </cell>
        </row>
        <row r="743">
          <cell r="A743" t="str">
            <v>RHES-SHCONBR8</v>
          </cell>
          <cell r="B743" t="str">
            <v>VAR_cap</v>
          </cell>
          <cell r="C743" t="str">
            <v>-</v>
          </cell>
          <cell r="E743">
            <v>4.2193557851983697E-5</v>
          </cell>
          <cell r="F743">
            <v>6.3226625670363928E-5</v>
          </cell>
          <cell r="G743">
            <v>6.5943015748488846E-5</v>
          </cell>
          <cell r="H743">
            <v>6.6009277839292166E-5</v>
          </cell>
          <cell r="I743">
            <v>6.6092871347604384E-5</v>
          </cell>
          <cell r="J743">
            <v>4.4662537448613812E-5</v>
          </cell>
        </row>
        <row r="744">
          <cell r="A744" t="str">
            <v>RHEM-SHWODBR</v>
          </cell>
          <cell r="B744" t="str">
            <v>VAR_fout</v>
          </cell>
          <cell r="C744" t="str">
            <v>RHEM-SHWOD</v>
          </cell>
          <cell r="D744">
            <v>4.7440122738783943</v>
          </cell>
          <cell r="E744">
            <v>4.9451563845499908</v>
          </cell>
          <cell r="F744">
            <v>4.9531760160823399</v>
          </cell>
          <cell r="G744">
            <v>4.4940201702551414</v>
          </cell>
          <cell r="H744">
            <v>3.9052706181030574</v>
          </cell>
          <cell r="I744">
            <v>3.3011839126872351</v>
          </cell>
          <cell r="J744">
            <v>1.9393192600324656</v>
          </cell>
        </row>
        <row r="745">
          <cell r="A745" t="str">
            <v>RHEM-SHWODBR</v>
          </cell>
          <cell r="B745" t="str">
            <v>VAR_fin</v>
          </cell>
          <cell r="C745" t="str">
            <v>RHEMWODBRC</v>
          </cell>
          <cell r="D745">
            <v>4.7440122738783943</v>
          </cell>
          <cell r="E745">
            <v>4.9451563845499908</v>
          </cell>
          <cell r="F745">
            <v>4.9531760160823399</v>
          </cell>
          <cell r="G745">
            <v>4.4940201702551414</v>
          </cell>
          <cell r="H745">
            <v>3.9052706181030574</v>
          </cell>
          <cell r="I745">
            <v>3.3011839126872351</v>
          </cell>
          <cell r="J745">
            <v>1.9393192600324656</v>
          </cell>
        </row>
        <row r="746">
          <cell r="A746" t="str">
            <v>RHEM-SHWODBR</v>
          </cell>
          <cell r="B746" t="str">
            <v>VAR_fin</v>
          </cell>
          <cell r="C746" t="str">
            <v>RWOD</v>
          </cell>
          <cell r="D746">
            <v>6.5889059359422104</v>
          </cell>
          <cell r="E746">
            <v>6.8682727563194339</v>
          </cell>
          <cell r="F746">
            <v>6.8534670364147772</v>
          </cell>
          <cell r="G746">
            <v>6.1941692434873925</v>
          </cell>
          <cell r="H746">
            <v>5.3826877124976464</v>
          </cell>
          <cell r="I746">
            <v>4.5500667741555105</v>
          </cell>
          <cell r="J746">
            <v>2.5891246277057305</v>
          </cell>
        </row>
        <row r="747">
          <cell r="A747" t="str">
            <v>RHEM-SHWODBR</v>
          </cell>
          <cell r="B747" t="str">
            <v>VAR_ncap</v>
          </cell>
          <cell r="C747" t="str">
            <v>-</v>
          </cell>
          <cell r="D747">
            <v>1.52472387335808E-4</v>
          </cell>
          <cell r="E747">
            <v>1.49898216645135E-2</v>
          </cell>
          <cell r="F747">
            <v>8.5243420664670702E-4</v>
          </cell>
          <cell r="G747">
            <v>1.1615541676413799E-5</v>
          </cell>
          <cell r="H747">
            <v>0.18160167253770701</v>
          </cell>
          <cell r="I747">
            <v>5.5846588204870998E-2</v>
          </cell>
          <cell r="J747">
            <v>2.0693985920366101E-2</v>
          </cell>
        </row>
        <row r="748">
          <cell r="A748" t="str">
            <v>RHEM-SHWODBR</v>
          </cell>
          <cell r="B748" t="str">
            <v>VAR_cap</v>
          </cell>
          <cell r="C748" t="str">
            <v>-</v>
          </cell>
          <cell r="D748">
            <v>0.33522425134232881</v>
          </cell>
          <cell r="E748">
            <v>0.35021119044676657</v>
          </cell>
          <cell r="F748">
            <v>0.35104901654986581</v>
          </cell>
          <cell r="G748">
            <v>0.35099234429248238</v>
          </cell>
          <cell r="H748">
            <v>0.27702923294186899</v>
          </cell>
          <cell r="I748">
            <v>0.23759425182878871</v>
          </cell>
          <cell r="J748">
            <v>0.13803474721702574</v>
          </cell>
        </row>
        <row r="749">
          <cell r="A749" t="str">
            <v>RHES-SHCONBR9</v>
          </cell>
          <cell r="B749" t="str">
            <v>VAR_fout</v>
          </cell>
          <cell r="C749" t="str">
            <v>RHES-SHCON</v>
          </cell>
          <cell r="E749">
            <v>6.0182578113672437E-4</v>
          </cell>
          <cell r="F749">
            <v>4.8405529192973451E-4</v>
          </cell>
          <cell r="G749">
            <v>3.1245775590138796E-4</v>
          </cell>
          <cell r="H749">
            <v>4.5587370200742585E-4</v>
          </cell>
          <cell r="I749">
            <v>3.9867457265460821E-4</v>
          </cell>
          <cell r="J749">
            <v>2.8801481895147284E-4</v>
          </cell>
        </row>
        <row r="750">
          <cell r="A750" t="str">
            <v>RHES-SHCONBR9</v>
          </cell>
          <cell r="B750" t="str">
            <v>VAR_fin</v>
          </cell>
          <cell r="C750" t="str">
            <v>CON</v>
          </cell>
          <cell r="E750">
            <v>6.0182578113672437E-4</v>
          </cell>
          <cell r="F750">
            <v>4.8405529192973451E-4</v>
          </cell>
          <cell r="G750">
            <v>3.1245775590138796E-4</v>
          </cell>
          <cell r="H750">
            <v>4.5587370200742585E-4</v>
          </cell>
          <cell r="I750">
            <v>3.9867457265460821E-4</v>
          </cell>
          <cell r="J750">
            <v>2.8801481895147284E-4</v>
          </cell>
        </row>
        <row r="751">
          <cell r="A751" t="str">
            <v>RHES-SHCONBR9</v>
          </cell>
          <cell r="B751" t="str">
            <v>VAR_ncap</v>
          </cell>
          <cell r="C751" t="str">
            <v>-</v>
          </cell>
          <cell r="E751">
            <v>1.34020802989523E-7</v>
          </cell>
          <cell r="F751">
            <v>4.2290823470072698E-7</v>
          </cell>
          <cell r="G751">
            <v>2.18723319310549E-7</v>
          </cell>
          <cell r="H751">
            <v>1.3850019978691E-7</v>
          </cell>
          <cell r="I751">
            <v>1.1373740850361401E-7</v>
          </cell>
          <cell r="J751">
            <v>1.4634213324759401E-7</v>
          </cell>
        </row>
        <row r="752">
          <cell r="A752" t="str">
            <v>RHES-SHCONBR9</v>
          </cell>
          <cell r="B752" t="str">
            <v>VAR_cap</v>
          </cell>
          <cell r="C752" t="str">
            <v>-</v>
          </cell>
          <cell r="E752">
            <v>1.34020802989523E-7</v>
          </cell>
          <cell r="F752">
            <v>3.18361266442807E-7</v>
          </cell>
          <cell r="G752">
            <v>3.8530728862162801E-7</v>
          </cell>
          <cell r="H752">
            <v>2.4568377949365298E-7</v>
          </cell>
          <cell r="I752">
            <v>2.259759483227181E-7</v>
          </cell>
          <cell r="J752">
            <v>3.6532258239784406E-7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RHSA_LTH</v>
          </cell>
          <cell r="D753">
            <v>5.6532733048855277E-4</v>
          </cell>
          <cell r="E753">
            <v>2.3111205245307611E-3</v>
          </cell>
          <cell r="F753">
            <v>4.9928521673070544E-3</v>
          </cell>
          <cell r="G753">
            <v>3.4051021460062788E-4</v>
          </cell>
          <cell r="H753">
            <v>2.585461685025039E-4</v>
          </cell>
          <cell r="I753">
            <v>3.1996775085549908E-4</v>
          </cell>
          <cell r="J753">
            <v>1.7717369182196628E-4</v>
          </cell>
        </row>
        <row r="754">
          <cell r="A754" t="str">
            <v>D-RHNS_LTH_CHPNGA</v>
          </cell>
          <cell r="B754" t="str">
            <v>VAR_fout</v>
          </cell>
          <cell r="C754" t="str">
            <v>LTH</v>
          </cell>
          <cell r="E754">
            <v>3.2104900799197293E-6</v>
          </cell>
          <cell r="F754">
            <v>1.7780841546753672E-6</v>
          </cell>
          <cell r="G754">
            <v>2.0942614211379403E-5</v>
          </cell>
          <cell r="H754">
            <v>3.3483875740903478E-5</v>
          </cell>
          <cell r="I754">
            <v>1.0237072343442276E-4</v>
          </cell>
          <cell r="J754">
            <v>1.1692708954651955E-4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RHNS_LTH_CHPNGA_ON</v>
          </cell>
          <cell r="D755">
            <v>3.6732442481197361E-4</v>
          </cell>
          <cell r="E755">
            <v>2.8902406364849551E-3</v>
          </cell>
          <cell r="G755">
            <v>8.9658571872949089E-5</v>
          </cell>
          <cell r="H755">
            <v>1.207621111810801E-4</v>
          </cell>
          <cell r="I755">
            <v>7.6532198715155379E-5</v>
          </cell>
          <cell r="J755">
            <v>1.0703812077315995E-4</v>
          </cell>
        </row>
        <row r="756">
          <cell r="A756" t="str">
            <v>D-RHNS_LTH_CHPNGA</v>
          </cell>
          <cell r="B756" t="str">
            <v>VAR_fin</v>
          </cell>
          <cell r="C756" t="str">
            <v>RHNS_LTH_CHPNGA</v>
          </cell>
          <cell r="D756">
            <v>9.3265175530052595E-4</v>
          </cell>
          <cell r="E756">
            <v>5.2049079549352116E-3</v>
          </cell>
          <cell r="F756">
            <v>4.9960632093246932E-3</v>
          </cell>
          <cell r="G756">
            <v>4.5111140068495676E-4</v>
          </cell>
          <cell r="H756">
            <v>4.127921554244874E-4</v>
          </cell>
          <cell r="I756">
            <v>4.9887067300507745E-4</v>
          </cell>
          <cell r="J756">
            <v>4.0113890214164599E-4</v>
          </cell>
        </row>
        <row r="757">
          <cell r="A757" t="str">
            <v>D-SLFO</v>
          </cell>
          <cell r="B757" t="str">
            <v>VAR_fout</v>
          </cell>
          <cell r="C757" t="str">
            <v>CO2</v>
          </cell>
          <cell r="D757">
            <v>2267.7920244305801</v>
          </cell>
          <cell r="E757">
            <v>1933.6967713973099</v>
          </cell>
          <cell r="F757">
            <v>1957.23968949714</v>
          </cell>
          <cell r="G757">
            <v>1160.40081782383</v>
          </cell>
          <cell r="H757">
            <v>835.08316785970499</v>
          </cell>
          <cell r="I757">
            <v>406.77483808935301</v>
          </cell>
          <cell r="J757">
            <v>6.1128812110336599E-3</v>
          </cell>
        </row>
        <row r="758">
          <cell r="A758" t="str">
            <v>D-SLFO</v>
          </cell>
          <cell r="B758" t="str">
            <v>VAR_fout</v>
          </cell>
          <cell r="C758" t="str">
            <v>SLFO</v>
          </cell>
          <cell r="D758">
            <v>30.256679168903222</v>
          </cell>
          <cell r="E758">
            <v>25.799210065042509</v>
          </cell>
          <cell r="F758">
            <v>26.114252197428314</v>
          </cell>
          <cell r="G758">
            <v>15.489299762393747</v>
          </cell>
          <cell r="H758">
            <v>11.151242568810867</v>
          </cell>
          <cell r="I758">
            <v>5.4348603302027643</v>
          </cell>
          <cell r="J758">
            <v>0.42254364967528873</v>
          </cell>
        </row>
        <row r="759">
          <cell r="A759" t="str">
            <v>D-SLFO</v>
          </cell>
          <cell r="B759" t="str">
            <v>VAR_fin</v>
          </cell>
          <cell r="C759" t="str">
            <v>LFO</v>
          </cell>
          <cell r="D759">
            <v>30.770583777891158</v>
          </cell>
          <cell r="E759">
            <v>26.237405310682689</v>
          </cell>
          <cell r="F759">
            <v>26.556847890056115</v>
          </cell>
          <cell r="G759">
            <v>15.744922901273103</v>
          </cell>
          <cell r="H759">
            <v>11.330843525911881</v>
          </cell>
          <cell r="I759">
            <v>5.5193329455814641</v>
          </cell>
          <cell r="J759">
            <v>8.2942757273183945E-5</v>
          </cell>
        </row>
        <row r="760">
          <cell r="A760" t="str">
            <v>D-SLFO</v>
          </cell>
          <cell r="B760" t="str">
            <v>VAR_fin</v>
          </cell>
          <cell r="C760" t="str">
            <v>BDS</v>
          </cell>
          <cell r="F760">
            <v>9.5317539077009793E-4</v>
          </cell>
          <cell r="G760">
            <v>7.4854263886987692E-3</v>
          </cell>
          <cell r="H760">
            <v>9.8297696972346749E-3</v>
          </cell>
          <cell r="I760">
            <v>7.8570146721838457E-3</v>
          </cell>
          <cell r="J760">
            <v>0.42965812067712278</v>
          </cell>
        </row>
        <row r="761">
          <cell r="A761" t="str">
            <v>D-RCOA</v>
          </cell>
          <cell r="B761" t="str">
            <v>VAR_fout</v>
          </cell>
          <cell r="C761" t="str">
            <v>CO2</v>
          </cell>
          <cell r="D761">
            <v>9.2728601039877496</v>
          </cell>
          <cell r="E761">
            <v>9.2711067197275501</v>
          </cell>
          <cell r="F761">
            <v>2.5001913696749498</v>
          </cell>
          <cell r="G761">
            <v>2.2053707618221001E-2</v>
          </cell>
        </row>
        <row r="762">
          <cell r="A762" t="str">
            <v>D-RCOA</v>
          </cell>
          <cell r="B762" t="str">
            <v>VAR_fout</v>
          </cell>
          <cell r="C762" t="str">
            <v>RCOA</v>
          </cell>
          <cell r="D762">
            <v>0.10003085333320115</v>
          </cell>
          <cell r="E762">
            <v>0.10001193872413756</v>
          </cell>
          <cell r="F762">
            <v>2.6970780686892657E-2</v>
          </cell>
          <cell r="G762">
            <v>2.3790407355146724E-4</v>
          </cell>
        </row>
        <row r="763">
          <cell r="A763" t="str">
            <v>D-RCOA</v>
          </cell>
          <cell r="B763" t="str">
            <v>VAR_fin</v>
          </cell>
          <cell r="C763" t="str">
            <v>COA</v>
          </cell>
          <cell r="D763">
            <v>0.10003085333320115</v>
          </cell>
          <cell r="E763">
            <v>0.10001193872413756</v>
          </cell>
          <cell r="F763">
            <v>2.6970780686892657E-2</v>
          </cell>
          <cell r="G763">
            <v>2.3790407355146724E-4</v>
          </cell>
        </row>
        <row r="764">
          <cell r="A764" t="str">
            <v>SCOM-ELCSPECDC</v>
          </cell>
          <cell r="B764" t="str">
            <v>VAR_fout</v>
          </cell>
          <cell r="C764" t="str">
            <v>SCOM-ELSDC</v>
          </cell>
          <cell r="F764">
            <v>13.290698929185066</v>
          </cell>
          <cell r="G764">
            <v>13.175113596716098</v>
          </cell>
          <cell r="H764">
            <v>13.179390887137931</v>
          </cell>
          <cell r="I764">
            <v>13.115304700392768</v>
          </cell>
          <cell r="J764">
            <v>12.838404140405576</v>
          </cell>
        </row>
        <row r="765">
          <cell r="A765" t="str">
            <v>SCOM-ELCSPECDC</v>
          </cell>
          <cell r="B765" t="str">
            <v>VAR_fin</v>
          </cell>
          <cell r="C765" t="str">
            <v>SCOM_ELC</v>
          </cell>
          <cell r="F765">
            <v>13.290698929185066</v>
          </cell>
          <cell r="G765">
            <v>13.175113596716098</v>
          </cell>
          <cell r="H765">
            <v>13.179390887137931</v>
          </cell>
          <cell r="I765">
            <v>13.115304700392768</v>
          </cell>
          <cell r="J765">
            <v>12.838404140405576</v>
          </cell>
        </row>
        <row r="766">
          <cell r="A766" t="str">
            <v>RHES-SHSTG-SOL</v>
          </cell>
          <cell r="B766" t="str">
            <v>VAR_fout</v>
          </cell>
          <cell r="C766" t="str">
            <v>AUX_RHES-SHSTG-SOL_OUT</v>
          </cell>
          <cell r="D766">
            <v>5.1955985703851924E-2</v>
          </cell>
          <cell r="E766">
            <v>5.0893149046407939E-2</v>
          </cell>
          <cell r="F766">
            <v>9.1133523356119062E-3</v>
          </cell>
          <cell r="G766">
            <v>9.9226818204934605E-3</v>
          </cell>
          <cell r="H766">
            <v>9.7696608315541826E-3</v>
          </cell>
          <cell r="I766">
            <v>3.0843243702556324E-3</v>
          </cell>
          <cell r="J766">
            <v>2.8041710308942466E-3</v>
          </cell>
        </row>
        <row r="767">
          <cell r="A767" t="str">
            <v>RHES-SHSTG-SOL</v>
          </cell>
          <cell r="B767" t="str">
            <v>VAR_fout</v>
          </cell>
          <cell r="C767" t="str">
            <v>RHES-SHASOL</v>
          </cell>
          <cell r="D767">
            <v>5.1904081622229724E-2</v>
          </cell>
          <cell r="E767">
            <v>5.0842306739668233E-2</v>
          </cell>
          <cell r="F767">
            <v>9.1042480875243754E-3</v>
          </cell>
          <cell r="G767">
            <v>9.9127690514420174E-3</v>
          </cell>
          <cell r="H767">
            <v>9.7599009306235541E-3</v>
          </cell>
          <cell r="I767">
            <v>3.0812431271285052E-3</v>
          </cell>
          <cell r="J767">
            <v>2.8013696612330156E-3</v>
          </cell>
        </row>
        <row r="768">
          <cell r="A768" t="str">
            <v>RHES-SHSTG-SOL</v>
          </cell>
          <cell r="B768" t="str">
            <v>VAR_fin</v>
          </cell>
          <cell r="C768" t="str">
            <v>RHES-SHASOL</v>
          </cell>
          <cell r="D768">
            <v>5.150348437443221E-2</v>
          </cell>
          <cell r="E768">
            <v>5.0925589191183063E-2</v>
          </cell>
          <cell r="F768">
            <v>9.1718923494547699E-3</v>
          </cell>
          <cell r="G768">
            <v>9.8638542491311758E-3</v>
          </cell>
          <cell r="H768">
            <v>9.7054636392328794E-3</v>
          </cell>
          <cell r="I768">
            <v>3.0473470021820013E-3</v>
          </cell>
          <cell r="J768">
            <v>2.7544616819559363E-3</v>
          </cell>
        </row>
        <row r="769">
          <cell r="A769" t="str">
            <v>RHES-SHSTG-SOL</v>
          </cell>
          <cell r="B769" t="str">
            <v>VAR_ncap</v>
          </cell>
          <cell r="C769" t="str">
            <v>-</v>
          </cell>
          <cell r="D769">
            <v>1.12344462320643E-2</v>
          </cell>
          <cell r="E769">
            <v>1.9389512080385399E-5</v>
          </cell>
          <cell r="F769">
            <v>1.0235873842205099E-5</v>
          </cell>
          <cell r="G769">
            <v>1.33590495515354E-5</v>
          </cell>
          <cell r="H769">
            <v>3.9679898908624402E-4</v>
          </cell>
          <cell r="I769">
            <v>3.8497393411326199E-4</v>
          </cell>
          <cell r="J769">
            <v>2.2053985612115399E-4</v>
          </cell>
        </row>
        <row r="770">
          <cell r="A770" t="str">
            <v>RHES-SHSTG-SOL</v>
          </cell>
          <cell r="B770" t="str">
            <v>VAR_cap</v>
          </cell>
          <cell r="C770" t="str">
            <v>-</v>
          </cell>
          <cell r="D770">
            <v>1.12344462320643E-2</v>
          </cell>
          <cell r="E770">
            <v>1.12538357441446E-2</v>
          </cell>
          <cell r="F770">
            <v>1.12640716179869E-2</v>
          </cell>
          <cell r="G770">
            <v>1.1277430667538399E-2</v>
          </cell>
          <cell r="H770">
            <v>3.3438076788432098E-3</v>
          </cell>
          <cell r="I770">
            <v>7.9270996881440701E-4</v>
          </cell>
          <cell r="J770">
            <v>6.6777219596742096E-4</v>
          </cell>
        </row>
        <row r="771">
          <cell r="A771" t="str">
            <v>D-ITOT_LTH</v>
          </cell>
          <cell r="B771" t="str">
            <v>VAR_fout</v>
          </cell>
          <cell r="C771" t="str">
            <v>ITOT_LTH_DH</v>
          </cell>
          <cell r="D771">
            <v>7.1202094790041857</v>
          </cell>
          <cell r="E771">
            <v>7.6289546232497099</v>
          </cell>
          <cell r="F771">
            <v>7.6289456009858734</v>
          </cell>
          <cell r="G771">
            <v>7.6290252733156585</v>
          </cell>
          <cell r="H771">
            <v>7.6290127759654762</v>
          </cell>
          <cell r="I771">
            <v>7.6291573282089677</v>
          </cell>
          <cell r="J771">
            <v>9.2515740336308152</v>
          </cell>
        </row>
        <row r="772">
          <cell r="A772" t="str">
            <v>D-ITOT_LTH</v>
          </cell>
          <cell r="B772" t="str">
            <v>VAR_fin</v>
          </cell>
          <cell r="C772" t="str">
            <v>LTH</v>
          </cell>
          <cell r="D772">
            <v>7.7405634205725988</v>
          </cell>
          <cell r="E772">
            <v>8.2914537249965665</v>
          </cell>
          <cell r="F772">
            <v>8.2881765697366596</v>
          </cell>
          <cell r="G772">
            <v>8.282823206030379</v>
          </cell>
          <cell r="H772">
            <v>8.2773768621005175</v>
          </cell>
          <cell r="I772">
            <v>8.272107943125409</v>
          </cell>
          <cell r="J772">
            <v>10.018121183053829</v>
          </cell>
        </row>
        <row r="773">
          <cell r="A773" t="str">
            <v>D-ITOT_LTH</v>
          </cell>
          <cell r="B773" t="str">
            <v>VAR_ncap</v>
          </cell>
          <cell r="C773" t="str">
            <v>-</v>
          </cell>
          <cell r="D773">
            <v>0.79547978136727204</v>
          </cell>
          <cell r="E773">
            <v>2.0011936391865699E-6</v>
          </cell>
          <cell r="F773">
            <v>2.2673591661852101E-6</v>
          </cell>
          <cell r="G773">
            <v>2.5860812663031202E-6</v>
          </cell>
          <cell r="H773">
            <v>3.9169626751716997E-6</v>
          </cell>
          <cell r="I773">
            <v>4.8140304447772898E-6</v>
          </cell>
          <cell r="J773">
            <v>4.17569298799618E-6</v>
          </cell>
        </row>
        <row r="774">
          <cell r="A774" t="str">
            <v>D-ITOT_LTH</v>
          </cell>
          <cell r="B774" t="str">
            <v>VAR_cap</v>
          </cell>
          <cell r="C774" t="str">
            <v>-</v>
          </cell>
          <cell r="D774">
            <v>0.79547978136727204</v>
          </cell>
          <cell r="E774">
            <v>0.79548178256091195</v>
          </cell>
          <cell r="F774">
            <v>0.79548404992007804</v>
          </cell>
          <cell r="G774">
            <v>0.79548663600134395</v>
          </cell>
          <cell r="H774">
            <v>0.79549055296401905</v>
          </cell>
          <cell r="I774">
            <v>0.79549536699446399</v>
          </cell>
          <cell r="J774">
            <v>0.79549954268745204</v>
          </cell>
        </row>
        <row r="775">
          <cell r="A775" t="str">
            <v>D-IH2</v>
          </cell>
          <cell r="B775" t="str">
            <v>VAR_fout</v>
          </cell>
          <cell r="C775" t="str">
            <v>IH2</v>
          </cell>
          <cell r="H775">
            <v>1.8020925740833194</v>
          </cell>
          <cell r="I775">
            <v>1.4969975177465877</v>
          </cell>
          <cell r="J775">
            <v>2.7453645560192528</v>
          </cell>
        </row>
        <row r="776">
          <cell r="A776" t="str">
            <v>D-IH2</v>
          </cell>
          <cell r="B776" t="str">
            <v>VAR_fin</v>
          </cell>
          <cell r="C776" t="str">
            <v>H2</v>
          </cell>
          <cell r="H776">
            <v>1.8158216145576791</v>
          </cell>
          <cell r="I776">
            <v>1.5084022256992917</v>
          </cell>
          <cell r="J776">
            <v>2.7662798084588403</v>
          </cell>
        </row>
        <row r="777">
          <cell r="A777" t="str">
            <v>D-IH2</v>
          </cell>
          <cell r="B777" t="str">
            <v>VAR_ncap</v>
          </cell>
          <cell r="C777" t="str">
            <v>-</v>
          </cell>
          <cell r="G777">
            <v>1.4036171507022399E-5</v>
          </cell>
          <cell r="H777">
            <v>7.7214001736610194E-2</v>
          </cell>
          <cell r="I777">
            <v>0.17707174888438501</v>
          </cell>
          <cell r="J777">
            <v>0.132127333901777</v>
          </cell>
        </row>
        <row r="778">
          <cell r="A778" t="str">
            <v>D-IH2</v>
          </cell>
          <cell r="B778" t="str">
            <v>VAR_cap</v>
          </cell>
          <cell r="C778" t="str">
            <v>-</v>
          </cell>
          <cell r="G778">
            <v>1.4036171507022399E-5</v>
          </cell>
          <cell r="H778">
            <v>7.7228037908117206E-2</v>
          </cell>
          <cell r="I778">
            <v>0.25429978679250298</v>
          </cell>
          <cell r="J778">
            <v>0.38642712069427998</v>
          </cell>
        </row>
        <row r="779">
          <cell r="A779" t="str">
            <v>D-RHNM_LTH_CHPWOD</v>
          </cell>
          <cell r="B779" t="str">
            <v>VAR_fout</v>
          </cell>
          <cell r="C779" t="str">
            <v>RHNM_LTH_CHPWOD_ON</v>
          </cell>
          <cell r="D779">
            <v>6.3299589391340664E-4</v>
          </cell>
          <cell r="E779">
            <v>1.0760778197992141E-4</v>
          </cell>
          <cell r="F779">
            <v>6.4390076225150661E-5</v>
          </cell>
          <cell r="G779">
            <v>1.1367041961808162E-4</v>
          </cell>
          <cell r="H779">
            <v>1.0537627526771117E-4</v>
          </cell>
          <cell r="I779">
            <v>1.5284159793656086E-4</v>
          </cell>
          <cell r="J779">
            <v>7.524300828747216E-5</v>
          </cell>
        </row>
        <row r="780">
          <cell r="A780" t="str">
            <v>D-RHNM_LTH_CHPWOD</v>
          </cell>
          <cell r="B780" t="str">
            <v>VAR_fout</v>
          </cell>
          <cell r="C780" t="str">
            <v>RHSA_LTH</v>
          </cell>
          <cell r="D780">
            <v>2.9963077611581154E-4</v>
          </cell>
          <cell r="E780">
            <v>4.4623487028736447E-4</v>
          </cell>
          <cell r="F780">
            <v>1.6752547346586725E-4</v>
          </cell>
          <cell r="G780">
            <v>3.1651041127887195E-4</v>
          </cell>
          <cell r="H780">
            <v>2.7403767827685572E-4</v>
          </cell>
          <cell r="I780">
            <v>2.9091566619977242E-4</v>
          </cell>
          <cell r="J780">
            <v>2.6186446180189219E-4</v>
          </cell>
        </row>
        <row r="781">
          <cell r="A781" t="str">
            <v>D-RHNM_LTH_CHPWOD</v>
          </cell>
          <cell r="B781" t="str">
            <v>VAR_fout</v>
          </cell>
          <cell r="C781" t="str">
            <v>LTH</v>
          </cell>
          <cell r="E781">
            <v>9.7386470751907815E-6</v>
          </cell>
          <cell r="F781">
            <v>9.641714716976335E-6</v>
          </cell>
          <cell r="G781">
            <v>2.0961184226215024E-5</v>
          </cell>
          <cell r="H781">
            <v>3.468557792157582E-5</v>
          </cell>
          <cell r="I781">
            <v>1.0665251700499679E-4</v>
          </cell>
          <cell r="J781">
            <v>1.2376533018414423E-4</v>
          </cell>
        </row>
        <row r="782">
          <cell r="A782" t="str">
            <v>D-RHNM_LTH_CHPWOD</v>
          </cell>
          <cell r="B782" t="str">
            <v>VAR_fin</v>
          </cell>
          <cell r="C782" t="str">
            <v>RHNM_LTH_CHPWOD</v>
          </cell>
          <cell r="D782">
            <v>9.3262667002921862E-4</v>
          </cell>
          <cell r="E782">
            <v>5.6358129934247622E-4</v>
          </cell>
          <cell r="F782">
            <v>2.415572644079943E-4</v>
          </cell>
          <cell r="G782">
            <v>4.5114201512316875E-4</v>
          </cell>
          <cell r="H782">
            <v>4.1409953146614233E-4</v>
          </cell>
          <cell r="I782">
            <v>5.504097811413303E-4</v>
          </cell>
          <cell r="J782">
            <v>4.6087280027350857E-4</v>
          </cell>
        </row>
        <row r="783">
          <cell r="A783" t="str">
            <v>RHNS-SHWODBR</v>
          </cell>
          <cell r="B783" t="str">
            <v>VAR_fout</v>
          </cell>
          <cell r="C783" t="str">
            <v>RHNS-SHWOD</v>
          </cell>
          <cell r="E783">
            <v>2.6615756125538775E-2</v>
          </cell>
          <cell r="F783">
            <v>2.2354283532903009E-2</v>
          </cell>
          <cell r="G783">
            <v>7.6946419555608131E-2</v>
          </cell>
          <cell r="H783">
            <v>7.8660282705172599E-2</v>
          </cell>
          <cell r="I783">
            <v>8.0646333888807265E-2</v>
          </cell>
          <cell r="J783">
            <v>8.185780592984758E-2</v>
          </cell>
        </row>
        <row r="784">
          <cell r="A784" t="str">
            <v>RHNS-SHWODBR</v>
          </cell>
          <cell r="B784" t="str">
            <v>VAR_fin</v>
          </cell>
          <cell r="C784" t="str">
            <v>RHNSWODBRC</v>
          </cell>
          <cell r="E784">
            <v>2.6615756125538775E-2</v>
          </cell>
          <cell r="F784">
            <v>2.2354283532903009E-2</v>
          </cell>
          <cell r="G784">
            <v>7.6946419555608131E-2</v>
          </cell>
          <cell r="H784">
            <v>7.8660282705172599E-2</v>
          </cell>
          <cell r="I784">
            <v>8.0646333888807265E-2</v>
          </cell>
          <cell r="J784">
            <v>8.185780592984758E-2</v>
          </cell>
        </row>
        <row r="785">
          <cell r="A785" t="str">
            <v>RHNS-SHWODBR</v>
          </cell>
          <cell r="B785" t="str">
            <v>VAR_fin</v>
          </cell>
          <cell r="C785" t="str">
            <v>RWOD</v>
          </cell>
          <cell r="E785">
            <v>3.6966327952137244E-2</v>
          </cell>
          <cell r="F785">
            <v>3.0106142551570059E-2</v>
          </cell>
          <cell r="G785">
            <v>0.10168572126972551</v>
          </cell>
          <cell r="H785">
            <v>0.10384584372167546</v>
          </cell>
          <cell r="I785">
            <v>0.10629369166567229</v>
          </cell>
          <cell r="J785">
            <v>0.10748016270056547</v>
          </cell>
        </row>
        <row r="786">
          <cell r="A786" t="str">
            <v>RHNS-SHWODBR</v>
          </cell>
          <cell r="B786" t="str">
            <v>VAR_ncap</v>
          </cell>
          <cell r="C786" t="str">
            <v>-</v>
          </cell>
          <cell r="E786">
            <v>2.5607459364027901E-3</v>
          </cell>
          <cell r="F786">
            <v>3.9528184006040598E-3</v>
          </cell>
          <cell r="H786">
            <v>1.4624124862114E-2</v>
          </cell>
        </row>
        <row r="787">
          <cell r="A787" t="str">
            <v>RHNS-SHWODBR</v>
          </cell>
          <cell r="B787" t="str">
            <v>VAR_cap</v>
          </cell>
          <cell r="C787" t="str">
            <v>-</v>
          </cell>
          <cell r="E787">
            <v>2.5607459364027901E-3</v>
          </cell>
          <cell r="F787">
            <v>6.5083679514562447E-3</v>
          </cell>
          <cell r="G787">
            <v>6.5066918794091213E-3</v>
          </cell>
          <cell r="H787">
            <v>1.9611276280959804E-2</v>
          </cell>
          <cell r="I787">
            <v>1.5222566846372017E-2</v>
          </cell>
          <cell r="J787">
            <v>6.1849328697978958E-3</v>
          </cell>
        </row>
        <row r="788">
          <cell r="A788" t="str">
            <v>D-RHNM_NKEV_GAS_ELC_CHP</v>
          </cell>
          <cell r="B788" t="str">
            <v>VAR_fout</v>
          </cell>
          <cell r="C788" t="str">
            <v>ELC5</v>
          </cell>
          <cell r="E788">
            <v>2.3145317213980731E-3</v>
          </cell>
          <cell r="F788">
            <v>5.1256443590673301E-3</v>
          </cell>
        </row>
        <row r="789">
          <cell r="A789" t="str">
            <v>D-RHNM_NKEV_GAS_ELC_CHP</v>
          </cell>
          <cell r="B789" t="str">
            <v>VAR_fout</v>
          </cell>
          <cell r="C789" t="str">
            <v>RHNM_ELC</v>
          </cell>
          <cell r="E789">
            <v>2.6826095068424281E-3</v>
          </cell>
          <cell r="F789">
            <v>7.4842730974800957E-3</v>
          </cell>
        </row>
        <row r="790">
          <cell r="A790" t="str">
            <v>D-RHNM_NKEV_GAS_ELC_CHP</v>
          </cell>
          <cell r="B790" t="str">
            <v>VAR_fin</v>
          </cell>
          <cell r="C790" t="str">
            <v>RHNM_NKEV_GAS_ELC_CHP</v>
          </cell>
          <cell r="E790">
            <v>4.9971412282404978E-3</v>
          </cell>
          <cell r="F790">
            <v>1.2475269824182129E-2</v>
          </cell>
        </row>
        <row r="791">
          <cell r="A791" t="str">
            <v>D-RLFO</v>
          </cell>
          <cell r="B791" t="str">
            <v>VAR_fout</v>
          </cell>
          <cell r="C791" t="str">
            <v>CO2</v>
          </cell>
          <cell r="D791">
            <v>4514.5291404127502</v>
          </cell>
          <cell r="E791">
            <v>3846.57266256306</v>
          </cell>
          <cell r="F791">
            <v>3706.0219843080899</v>
          </cell>
          <cell r="G791">
            <v>1823.5811585651199</v>
          </cell>
          <cell r="H791">
            <v>1169.0017719447701</v>
          </cell>
          <cell r="I791">
            <v>448.21032044476601</v>
          </cell>
          <cell r="J791">
            <v>9.6669529286845992E-3</v>
          </cell>
        </row>
        <row r="792">
          <cell r="A792" t="str">
            <v>D-RLFO</v>
          </cell>
          <cell r="B792" t="str">
            <v>VAR_fout</v>
          </cell>
          <cell r="C792" t="str">
            <v>RLFO</v>
          </cell>
          <cell r="D792">
            <v>60.232445624916004</v>
          </cell>
          <cell r="E792">
            <v>51.320629800815738</v>
          </cell>
          <cell r="F792">
            <v>49.44635418167627</v>
          </cell>
          <cell r="G792">
            <v>24.33745865641847</v>
          </cell>
          <cell r="H792">
            <v>15.606402500061549</v>
          </cell>
          <cell r="I792">
            <v>5.9877899721881045</v>
          </cell>
          <cell r="J792">
            <v>0.57819385632436648</v>
          </cell>
        </row>
        <row r="793">
          <cell r="A793" t="str">
            <v>D-RLFO</v>
          </cell>
          <cell r="B793" t="str">
            <v>VAR_fin</v>
          </cell>
          <cell r="C793" t="str">
            <v>LFO</v>
          </cell>
          <cell r="D793">
            <v>61.25548358768993</v>
          </cell>
          <cell r="E793">
            <v>52.192302070055007</v>
          </cell>
          <cell r="F793">
            <v>50.285237236201965</v>
          </cell>
          <cell r="G793">
            <v>24.743299302104791</v>
          </cell>
          <cell r="H793">
            <v>15.861625128151564</v>
          </cell>
          <cell r="I793">
            <v>6.0815511593591127</v>
          </cell>
          <cell r="J793">
            <v>1.3116625412055096E-4</v>
          </cell>
        </row>
        <row r="794">
          <cell r="A794" t="str">
            <v>D-RLFO</v>
          </cell>
          <cell r="B794" t="str">
            <v>VAR_fin</v>
          </cell>
          <cell r="C794" t="str">
            <v>BDS</v>
          </cell>
          <cell r="F794">
            <v>9.5434524827599904E-4</v>
          </cell>
          <cell r="G794">
            <v>7.5287058467960605E-3</v>
          </cell>
          <cell r="H794">
            <v>9.8517512132436352E-3</v>
          </cell>
          <cell r="I794">
            <v>7.9418117323097788E-3</v>
          </cell>
          <cell r="J794">
            <v>0.58794408155540623</v>
          </cell>
        </row>
        <row r="795">
          <cell r="A795" t="str">
            <v>D-SCOM_LTH_CHPBIO</v>
          </cell>
          <cell r="B795" t="str">
            <v>VAR_fout</v>
          </cell>
          <cell r="C795" t="str">
            <v>SCOM_LTH_CHPBIO_ON</v>
          </cell>
          <cell r="D795">
            <v>1.4243679139317302</v>
          </cell>
          <cell r="E795">
            <v>1.5428509789299918</v>
          </cell>
        </row>
        <row r="796">
          <cell r="A796" t="str">
            <v>D-SCOM_LTH_CHPBIO</v>
          </cell>
          <cell r="B796" t="str">
            <v>VAR_fout</v>
          </cell>
          <cell r="C796" t="str">
            <v>LTH</v>
          </cell>
          <cell r="E796">
            <v>3.5779835358936779E-2</v>
          </cell>
        </row>
        <row r="797">
          <cell r="A797" t="str">
            <v>D-SCOM_LTH_CHPBIO</v>
          </cell>
          <cell r="B797" t="str">
            <v>VAR_fin</v>
          </cell>
          <cell r="C797" t="str">
            <v>SCOM_LTH_CHPBIO</v>
          </cell>
          <cell r="D797">
            <v>1.4243679139317302</v>
          </cell>
          <cell r="E797">
            <v>1.5786308142889296</v>
          </cell>
        </row>
        <row r="798">
          <cell r="A798" t="str">
            <v>D-SCOM_NKEV_GAS_ELC_CHP</v>
          </cell>
          <cell r="B798" t="str">
            <v>VAR_fout</v>
          </cell>
          <cell r="C798" t="str">
            <v>ELC5</v>
          </cell>
          <cell r="D798">
            <v>4.6656374639840605E-2</v>
          </cell>
          <cell r="E798">
            <v>1.9680455889309185E-2</v>
          </cell>
          <cell r="F798">
            <v>1.8341992905094334E-2</v>
          </cell>
        </row>
        <row r="799">
          <cell r="A799" t="str">
            <v>D-SCOM_NKEV_GAS_ELC_CHP</v>
          </cell>
          <cell r="B799" t="str">
            <v>VAR_fout</v>
          </cell>
          <cell r="C799" t="str">
            <v>SCOM_ELC</v>
          </cell>
          <cell r="D799">
            <v>0.54798592106316857</v>
          </cell>
          <cell r="E799">
            <v>0.60696215395446285</v>
          </cell>
          <cell r="F799">
            <v>0.51929548623497057</v>
          </cell>
        </row>
        <row r="800">
          <cell r="A800" t="str">
            <v>D-SCOM_NKEV_GAS_ELC_CHP</v>
          </cell>
          <cell r="B800" t="str">
            <v>VAR_fin</v>
          </cell>
          <cell r="C800" t="str">
            <v>SCOM_NKEV_GAS_ELC_CHP</v>
          </cell>
          <cell r="D800">
            <v>0.59464229570300875</v>
          </cell>
          <cell r="E800">
            <v>0.62664260984377185</v>
          </cell>
          <cell r="F800">
            <v>0.53747126247534416</v>
          </cell>
        </row>
        <row r="801">
          <cell r="A801" t="str">
            <v>RHEM-SHLTHDH</v>
          </cell>
          <cell r="B801" t="str">
            <v>VAR_fout</v>
          </cell>
          <cell r="C801" t="str">
            <v>RHEM-SHLTHD</v>
          </cell>
          <cell r="D801">
            <v>3.211715113318657</v>
          </cell>
          <cell r="E801">
            <v>3.7889116633381663</v>
          </cell>
          <cell r="F801">
            <v>4.4289999914988254</v>
          </cell>
          <cell r="G801">
            <v>5.263452390997605</v>
          </cell>
          <cell r="H801">
            <v>5.4116270571337628</v>
          </cell>
          <cell r="I801">
            <v>5.6679875017816901</v>
          </cell>
          <cell r="J801">
            <v>5.13089949731296</v>
          </cell>
        </row>
        <row r="802">
          <cell r="A802" t="str">
            <v>RHEM-SHLTHDH</v>
          </cell>
          <cell r="B802" t="str">
            <v>VAR_fin</v>
          </cell>
          <cell r="C802" t="str">
            <v>RHEMLTHDHC</v>
          </cell>
          <cell r="D802">
            <v>3.211715113318657</v>
          </cell>
          <cell r="E802">
            <v>3.7889116633381663</v>
          </cell>
          <cell r="F802">
            <v>4.4289999914988254</v>
          </cell>
          <cell r="G802">
            <v>5.263452390997605</v>
          </cell>
          <cell r="H802">
            <v>5.4116270571337628</v>
          </cell>
          <cell r="I802">
            <v>5.6679875017816901</v>
          </cell>
          <cell r="J802">
            <v>5.13089949731296</v>
          </cell>
        </row>
        <row r="803">
          <cell r="A803" t="str">
            <v>RHEM-SHLTHDH</v>
          </cell>
          <cell r="B803" t="str">
            <v>VAR_fin</v>
          </cell>
          <cell r="C803" t="str">
            <v>RHEM_LTH_DH</v>
          </cell>
          <cell r="D803">
            <v>3.2441566801198554</v>
          </cell>
          <cell r="E803">
            <v>3.8271834983213817</v>
          </cell>
          <cell r="F803">
            <v>4.9630346394655369</v>
          </cell>
          <cell r="G803">
            <v>5.8981026393857814</v>
          </cell>
          <cell r="H803">
            <v>6.0641437326656504</v>
          </cell>
          <cell r="I803">
            <v>6.3514152994795117</v>
          </cell>
          <cell r="J803">
            <v>5.7495669418962772</v>
          </cell>
        </row>
        <row r="804">
          <cell r="A804" t="str">
            <v>RHEM-SHLTHDH</v>
          </cell>
          <cell r="B804" t="str">
            <v>VAR_ncap</v>
          </cell>
          <cell r="C804" t="str">
            <v>-</v>
          </cell>
          <cell r="D804">
            <v>1.6796840818739101E-6</v>
          </cell>
          <cell r="E804">
            <v>0.167911275029796</v>
          </cell>
          <cell r="F804">
            <v>0.19448987706981</v>
          </cell>
          <cell r="G804">
            <v>0.18011697993283701</v>
          </cell>
          <cell r="H804">
            <v>0.164679584164929</v>
          </cell>
          <cell r="I804">
            <v>0.178726395032274</v>
          </cell>
          <cell r="J804">
            <v>0.177427765637206</v>
          </cell>
        </row>
        <row r="805">
          <cell r="A805" t="str">
            <v>RHEM-SHLTHDH</v>
          </cell>
          <cell r="B805" t="str">
            <v>VAR_cap</v>
          </cell>
          <cell r="C805" t="str">
            <v>-</v>
          </cell>
          <cell r="D805">
            <v>0.31562714679576986</v>
          </cell>
          <cell r="E805">
            <v>0.27465621958243291</v>
          </cell>
          <cell r="F805">
            <v>0.36577180425487799</v>
          </cell>
          <cell r="G805">
            <v>0.39759765002095399</v>
          </cell>
          <cell r="H805">
            <v>0.39666151903016189</v>
          </cell>
          <cell r="I805">
            <v>0.40992956106771505</v>
          </cell>
          <cell r="J805">
            <v>0.395852398096186</v>
          </cell>
        </row>
        <row r="806">
          <cell r="A806" t="str">
            <v>D-ITOT_SOLELC</v>
          </cell>
          <cell r="B806" t="str">
            <v>VAR_fout</v>
          </cell>
          <cell r="C806" t="str">
            <v>ITOT_ELC</v>
          </cell>
          <cell r="D806">
            <v>3.4722461259298605</v>
          </cell>
          <cell r="E806">
            <v>4.8216965664715952</v>
          </cell>
          <cell r="F806">
            <v>11.123168592516206</v>
          </cell>
          <cell r="G806">
            <v>19.076381317476553</v>
          </cell>
          <cell r="H806">
            <v>21.977279584625887</v>
          </cell>
          <cell r="I806">
            <v>39.854997851569244</v>
          </cell>
          <cell r="J806">
            <v>42.711874577812424</v>
          </cell>
        </row>
        <row r="807">
          <cell r="A807" t="str">
            <v>D-ITOT_SOLELC</v>
          </cell>
          <cell r="B807" t="str">
            <v>VAR_fout</v>
          </cell>
          <cell r="C807" t="str">
            <v>ELC5</v>
          </cell>
          <cell r="D807">
            <v>4.5707873777669709E-2</v>
          </cell>
          <cell r="E807">
            <v>2.6976964297584415E-2</v>
          </cell>
          <cell r="F807">
            <v>3.1922482827382068E-2</v>
          </cell>
          <cell r="G807">
            <v>1.1586241992679455E-2</v>
          </cell>
          <cell r="H807">
            <v>4.0199762483508698E-2</v>
          </cell>
          <cell r="I807">
            <v>0.84411990911676216</v>
          </cell>
          <cell r="J807">
            <v>0.72908670602078263</v>
          </cell>
        </row>
        <row r="808">
          <cell r="A808" t="str">
            <v>D-ITOT_SOLELC</v>
          </cell>
          <cell r="B808" t="str">
            <v>VAR_fin</v>
          </cell>
          <cell r="C808" t="str">
            <v>ITOT_SOL_ELC</v>
          </cell>
          <cell r="D808">
            <v>3.517953999707534</v>
          </cell>
          <cell r="E808">
            <v>4.8486281142671022</v>
          </cell>
          <cell r="F808">
            <v>11.155091075343593</v>
          </cell>
          <cell r="G808">
            <v>19.087967559469238</v>
          </cell>
          <cell r="H808">
            <v>22.01747934710939</v>
          </cell>
          <cell r="I808">
            <v>40.699117760686022</v>
          </cell>
          <cell r="J808">
            <v>43.440961283833175</v>
          </cell>
        </row>
        <row r="809">
          <cell r="A809" t="str">
            <v>D-SWOD</v>
          </cell>
          <cell r="B809" t="str">
            <v>VAR_fout</v>
          </cell>
          <cell r="C809" t="str">
            <v>SWOD</v>
          </cell>
          <cell r="D809">
            <v>8.5744660242739226</v>
          </cell>
          <cell r="E809">
            <v>7.2610711900694813</v>
          </cell>
          <cell r="F809">
            <v>10.069284452655683</v>
          </cell>
          <cell r="G809">
            <v>9.6060666162982002</v>
          </cell>
          <cell r="H809">
            <v>8.4536948091823874</v>
          </cell>
          <cell r="I809">
            <v>7.1453071659315377</v>
          </cell>
          <cell r="J809">
            <v>4.7599824851355077</v>
          </cell>
        </row>
        <row r="810">
          <cell r="A810" t="str">
            <v>D-SWOD</v>
          </cell>
          <cell r="B810" t="str">
            <v>VAR_fin</v>
          </cell>
          <cell r="C810" t="str">
            <v>WOD</v>
          </cell>
          <cell r="D810">
            <v>8.5744660242739226</v>
          </cell>
          <cell r="E810">
            <v>7.2610711900694813</v>
          </cell>
          <cell r="F810">
            <v>10.069284452655683</v>
          </cell>
          <cell r="G810">
            <v>9.6060666162982002</v>
          </cell>
          <cell r="H810">
            <v>8.4536948091823874</v>
          </cell>
          <cell r="I810">
            <v>7.1453071659315377</v>
          </cell>
          <cell r="J810">
            <v>4.7599824851355077</v>
          </cell>
        </row>
        <row r="811">
          <cell r="A811" t="str">
            <v>ITOT-PROCESSCO2CCS</v>
          </cell>
          <cell r="B811" t="str">
            <v>VAR_fout</v>
          </cell>
          <cell r="C811" t="str">
            <v>CO2_O</v>
          </cell>
          <cell r="I811">
            <v>1.2960053381384309</v>
          </cell>
          <cell r="J811">
            <v>897.2367904952647</v>
          </cell>
        </row>
        <row r="812">
          <cell r="A812" t="str">
            <v>ITOT-PROCESSCO2CCS</v>
          </cell>
          <cell r="B812" t="str">
            <v>VAR_fout</v>
          </cell>
          <cell r="C812" t="str">
            <v>CO2</v>
          </cell>
          <cell r="I812">
            <v>-1.29600533813843</v>
          </cell>
          <cell r="J812">
            <v>-897.23679049526504</v>
          </cell>
        </row>
        <row r="813">
          <cell r="A813" t="str">
            <v>ITOT-PROCESSCO2CCS</v>
          </cell>
          <cell r="B813" t="str">
            <v>VAR_fin</v>
          </cell>
          <cell r="C813" t="str">
            <v>ITOT_ELC</v>
          </cell>
          <cell r="I813">
            <v>2.744481892528444E-3</v>
          </cell>
          <cell r="J813">
            <v>1.9000308504605625</v>
          </cell>
        </row>
        <row r="814">
          <cell r="A814" t="str">
            <v>ITOT-PROCESSCO2CCS</v>
          </cell>
          <cell r="B814" t="str">
            <v>VAR_fin</v>
          </cell>
          <cell r="C814" t="str">
            <v>ITOT_LTH_DH</v>
          </cell>
          <cell r="I814">
            <v>1.0672985137610608E-3</v>
          </cell>
          <cell r="J814">
            <v>0.73890088629021811</v>
          </cell>
        </row>
        <row r="815">
          <cell r="A815" t="str">
            <v>ITOT-PROCESSCO2CCS</v>
          </cell>
          <cell r="B815" t="str">
            <v>VAR_ncap</v>
          </cell>
          <cell r="C815" t="str">
            <v>-</v>
          </cell>
          <cell r="I815">
            <v>3.8072509300627799</v>
          </cell>
          <cell r="J815">
            <v>2722.2212899173501</v>
          </cell>
        </row>
        <row r="816">
          <cell r="A816" t="str">
            <v>ITOT-PROCESSCO2CCS</v>
          </cell>
          <cell r="B816" t="str">
            <v>VAR_cap</v>
          </cell>
          <cell r="C816" t="str">
            <v>-</v>
          </cell>
          <cell r="I816">
            <v>3.8072509300627799</v>
          </cell>
          <cell r="J816">
            <v>2726.0285408474101</v>
          </cell>
        </row>
        <row r="817">
          <cell r="A817" t="str">
            <v>D-RSH2R</v>
          </cell>
          <cell r="B817" t="str">
            <v>VAR_fout</v>
          </cell>
          <cell r="C817" t="str">
            <v>RSH2</v>
          </cell>
          <cell r="G817">
            <v>4.949715505839546E-3</v>
          </cell>
          <cell r="H817">
            <v>4.2570541080911069E-3</v>
          </cell>
          <cell r="I817">
            <v>2.4843779430640213E-3</v>
          </cell>
          <cell r="J817">
            <v>2.5110577823140934E-3</v>
          </cell>
        </row>
        <row r="818">
          <cell r="A818" t="str">
            <v>D-RSH2R</v>
          </cell>
          <cell r="B818" t="str">
            <v>VAR_fin</v>
          </cell>
          <cell r="C818" t="str">
            <v>H2</v>
          </cell>
          <cell r="G818">
            <v>4.949715505839546E-3</v>
          </cell>
          <cell r="H818">
            <v>4.2570541080911069E-3</v>
          </cell>
          <cell r="I818">
            <v>2.4843779430640213E-3</v>
          </cell>
          <cell r="J818">
            <v>2.5110577823140934E-3</v>
          </cell>
        </row>
        <row r="819">
          <cell r="A819" t="str">
            <v>D-RSH2R</v>
          </cell>
          <cell r="B819" t="str">
            <v>VAR_ncap</v>
          </cell>
          <cell r="C819" t="str">
            <v>-</v>
          </cell>
          <cell r="G819">
            <v>9.2706046910049603E-4</v>
          </cell>
          <cell r="H819">
            <v>9.3505739772183104E-4</v>
          </cell>
          <cell r="I819">
            <v>1.1154525941372501E-3</v>
          </cell>
          <cell r="J819">
            <v>5.0247870232865205E-4</v>
          </cell>
        </row>
        <row r="820">
          <cell r="A820" t="str">
            <v>D-RSH2R</v>
          </cell>
          <cell r="B820" t="str">
            <v>VAR_cap</v>
          </cell>
          <cell r="C820" t="str">
            <v>-</v>
          </cell>
          <cell r="G820">
            <v>9.2706046910049603E-4</v>
          </cell>
          <cell r="H820">
            <v>1.6388651338120901E-3</v>
          </cell>
          <cell r="I820">
            <v>1.2810717587812301E-3</v>
          </cell>
          <cell r="J820">
            <v>8.84544915556755E-4</v>
          </cell>
        </row>
        <row r="821">
          <cell r="A821" t="str">
            <v>SCOM-SHLTHCHPBIO</v>
          </cell>
          <cell r="B821" t="str">
            <v>VAR_fout</v>
          </cell>
          <cell r="C821" t="str">
            <v>SCOM-SHLTHC-BIO</v>
          </cell>
          <cell r="D821">
            <v>1.4101242347924117</v>
          </cell>
          <cell r="E821">
            <v>1.5274224691406926</v>
          </cell>
        </row>
        <row r="822">
          <cell r="A822" t="str">
            <v>SCOM-SHLTHCHPBIO</v>
          </cell>
          <cell r="B822" t="str">
            <v>VAR_fin</v>
          </cell>
          <cell r="C822" t="str">
            <v>SCOM_LTH_CHPBIO_ON</v>
          </cell>
          <cell r="D822">
            <v>1.4243679139317302</v>
          </cell>
          <cell r="E822">
            <v>1.5428509789299918</v>
          </cell>
        </row>
        <row r="823">
          <cell r="A823" t="str">
            <v>SCOM-SHLTHCHPBIO</v>
          </cell>
          <cell r="B823" t="str">
            <v>VAR_fin</v>
          </cell>
          <cell r="C823" t="str">
            <v>SCOMLTHCHPC</v>
          </cell>
          <cell r="D823">
            <v>1.4101242347924117</v>
          </cell>
          <cell r="E823">
            <v>1.5274224691406926</v>
          </cell>
        </row>
        <row r="824">
          <cell r="A824" t="str">
            <v>SCOM-SHLTHCHPBIO</v>
          </cell>
          <cell r="B824" t="str">
            <v>VAR_ncap</v>
          </cell>
          <cell r="C824" t="str">
            <v>-</v>
          </cell>
          <cell r="D824">
            <v>2.4640933473597802E-6</v>
          </cell>
          <cell r="E824">
            <v>8.6102905947137098E-2</v>
          </cell>
          <cell r="F824">
            <v>6.5131722110967002E-2</v>
          </cell>
          <cell r="G824">
            <v>5.1330420867252403E-2</v>
          </cell>
          <cell r="H824">
            <v>5.7312493793284597E-2</v>
          </cell>
          <cell r="I824">
            <v>4.9480730166634401E-2</v>
          </cell>
          <cell r="J824">
            <v>5.7153435431025697E-2</v>
          </cell>
        </row>
        <row r="825">
          <cell r="A825" t="str">
            <v>SCOM-SHLTHCHPBIO</v>
          </cell>
          <cell r="B825" t="str">
            <v>VAR_cap</v>
          </cell>
          <cell r="C825" t="str">
            <v>-</v>
          </cell>
          <cell r="D825">
            <v>0.10914215167238636</v>
          </cell>
          <cell r="E825">
            <v>0.12103091729225199</v>
          </cell>
          <cell r="F825">
            <v>0.104657080440302</v>
          </cell>
          <cell r="G825">
            <v>9.2281873094359979E-2</v>
          </cell>
          <cell r="H825">
            <v>8.9471352253962411E-2</v>
          </cell>
          <cell r="I825">
            <v>7.7211934113112515E-2</v>
          </cell>
          <cell r="J825">
            <v>7.7210348597177403E-2</v>
          </cell>
        </row>
        <row r="826">
          <cell r="A826" t="str">
            <v>D-RSH2</v>
          </cell>
          <cell r="B826" t="str">
            <v>VAR_fout</v>
          </cell>
          <cell r="C826" t="str">
            <v>RSH2</v>
          </cell>
          <cell r="G826">
            <v>4.6824012189241671E-3</v>
          </cell>
          <cell r="H826">
            <v>4.0287454459152668E-3</v>
          </cell>
          <cell r="I826">
            <v>2.6385838545148455E-3</v>
          </cell>
          <cell r="J826">
            <v>2.8839600496561664E-3</v>
          </cell>
        </row>
        <row r="827">
          <cell r="A827" t="str">
            <v>D-RSH2</v>
          </cell>
          <cell r="B827" t="str">
            <v>VAR_fin</v>
          </cell>
          <cell r="C827" t="str">
            <v>H2</v>
          </cell>
          <cell r="G827">
            <v>4.7180735682675352E-3</v>
          </cell>
          <cell r="H827">
            <v>4.0594379919494184E-3</v>
          </cell>
          <cell r="I827">
            <v>2.6586856101375031E-3</v>
          </cell>
          <cell r="J827">
            <v>2.9059311763438753E-3</v>
          </cell>
        </row>
        <row r="828">
          <cell r="A828" t="str">
            <v>D-RSH2</v>
          </cell>
          <cell r="B828" t="str">
            <v>VAR_ncap</v>
          </cell>
          <cell r="C828" t="str">
            <v>-</v>
          </cell>
          <cell r="G828">
            <v>1.2126009950502001E-3</v>
          </cell>
          <cell r="H828">
            <v>5.1066817579369496E-4</v>
          </cell>
          <cell r="I828">
            <v>3.4455384746115597E-5</v>
          </cell>
          <cell r="J828">
            <v>1.6942437411373901E-5</v>
          </cell>
        </row>
        <row r="829">
          <cell r="A829" t="str">
            <v>D-RSH2</v>
          </cell>
          <cell r="B829" t="str">
            <v>VAR_cap</v>
          </cell>
          <cell r="C829" t="str">
            <v>-</v>
          </cell>
          <cell r="G829">
            <v>1.2126009950502001E-3</v>
          </cell>
          <cell r="H829">
            <v>1.7232691708438999E-3</v>
          </cell>
          <cell r="I829">
            <v>1.75772455559002E-3</v>
          </cell>
          <cell r="J829">
            <v>1.7746669930013899E-3</v>
          </cell>
        </row>
        <row r="830">
          <cell r="A830" t="str">
            <v>RHES-SHNGABR</v>
          </cell>
          <cell r="B830" t="str">
            <v>VAR_fout</v>
          </cell>
          <cell r="C830" t="str">
            <v>CO2_R</v>
          </cell>
          <cell r="D830">
            <v>1043.1446976712</v>
          </cell>
          <cell r="E830">
            <v>1155.2875816594701</v>
          </cell>
          <cell r="F830">
            <v>643.24748411699602</v>
          </cell>
          <cell r="G830">
            <v>452.82401288682797</v>
          </cell>
          <cell r="H830">
            <v>298.71728509588098</v>
          </cell>
          <cell r="I830">
            <v>141.71026557558</v>
          </cell>
          <cell r="J830">
            <v>57.033778808755201</v>
          </cell>
        </row>
        <row r="831">
          <cell r="A831" t="str">
            <v>RHES-SHNGABR</v>
          </cell>
          <cell r="B831" t="str">
            <v>VAR_fout</v>
          </cell>
          <cell r="C831" t="str">
            <v>RHES-SHNGA</v>
          </cell>
          <cell r="D831">
            <v>17.570699694816405</v>
          </cell>
          <cell r="E831">
            <v>19.459631251356271</v>
          </cell>
          <cell r="F831">
            <v>10.463605210474039</v>
          </cell>
          <cell r="G831">
            <v>7.366016685124853</v>
          </cell>
          <cell r="H831">
            <v>4.8591868883538565</v>
          </cell>
          <cell r="I831">
            <v>2.3051785041798865</v>
          </cell>
          <cell r="J831">
            <v>0.94684859367359397</v>
          </cell>
        </row>
        <row r="832">
          <cell r="A832" t="str">
            <v>RHES-SHNGABR</v>
          </cell>
          <cell r="B832" t="str">
            <v>VAR_fin</v>
          </cell>
          <cell r="C832" t="str">
            <v>RNGA</v>
          </cell>
          <cell r="D832">
            <v>18.495473362964624</v>
          </cell>
          <cell r="E832">
            <v>20.483822369848706</v>
          </cell>
          <cell r="F832">
            <v>11.40509723611695</v>
          </cell>
          <cell r="G832">
            <v>8.0287945547309878</v>
          </cell>
          <cell r="H832">
            <v>5.2964057641113538</v>
          </cell>
          <cell r="I832">
            <v>2.5125933612691402</v>
          </cell>
          <cell r="J832">
            <v>1.0112372129211906</v>
          </cell>
        </row>
        <row r="833">
          <cell r="A833" t="str">
            <v>RHES-SHNGABR</v>
          </cell>
          <cell r="B833" t="str">
            <v>VAR_ncap</v>
          </cell>
          <cell r="C833" t="str">
            <v>-</v>
          </cell>
          <cell r="E833">
            <v>0.15041305349379799</v>
          </cell>
          <cell r="F833">
            <v>2.24303120289568E-6</v>
          </cell>
          <cell r="G833">
            <v>4.8878090904517199E-6</v>
          </cell>
          <cell r="H833">
            <v>2.3316361983557601E-2</v>
          </cell>
          <cell r="I833">
            <v>0.163644131105358</v>
          </cell>
          <cell r="J833">
            <v>3.3855151606808201E-6</v>
          </cell>
        </row>
        <row r="834">
          <cell r="A834" t="str">
            <v>RHES-SHNGABR</v>
          </cell>
          <cell r="B834" t="str">
            <v>VAR_cap</v>
          </cell>
          <cell r="C834" t="str">
            <v>-</v>
          </cell>
          <cell r="D834">
            <v>1.4219190615860799</v>
          </cell>
          <cell r="E834">
            <v>1.5723306922808513</v>
          </cell>
          <cell r="F834">
            <v>1.2946643233812538</v>
          </cell>
          <cell r="G834">
            <v>1.2932621474372088</v>
          </cell>
          <cell r="H834">
            <v>0.39669875957132222</v>
          </cell>
          <cell r="I834">
            <v>0.18695784506481117</v>
          </cell>
          <cell r="J834">
            <v>0.1113153296470281</v>
          </cell>
        </row>
        <row r="835">
          <cell r="A835" t="str">
            <v>SCOM-SHLTHCHPHFC</v>
          </cell>
          <cell r="B835" t="str">
            <v>VAR_ncap</v>
          </cell>
          <cell r="C835" t="str">
            <v>-</v>
          </cell>
          <cell r="G835">
            <v>1.52923213657146E-3</v>
          </cell>
          <cell r="H835">
            <v>1.91231664404916E-3</v>
          </cell>
          <cell r="I835">
            <v>1.22201716060696E-3</v>
          </cell>
          <cell r="J835">
            <v>8.0594974953634502E-4</v>
          </cell>
        </row>
        <row r="836">
          <cell r="A836" t="str">
            <v>SCOM-SHLTHCHPHFC</v>
          </cell>
          <cell r="B836" t="str">
            <v>VAR_cap</v>
          </cell>
          <cell r="C836" t="str">
            <v>-</v>
          </cell>
          <cell r="G836">
            <v>1.52923213657146E-3</v>
          </cell>
          <cell r="H836">
            <v>2.4341437261804601E-3</v>
          </cell>
          <cell r="I836">
            <v>1.9359691026595897E-3</v>
          </cell>
          <cell r="J836">
            <v>1.24287125922371E-3</v>
          </cell>
        </row>
        <row r="837">
          <cell r="A837" t="str">
            <v>RHSA-WHNGABR</v>
          </cell>
          <cell r="B837" t="str">
            <v>VAR_fout</v>
          </cell>
          <cell r="C837" t="str">
            <v>RHSA-WHNGA</v>
          </cell>
          <cell r="D837">
            <v>6.3805777484808273</v>
          </cell>
          <cell r="E837">
            <v>5.2356337330010145</v>
          </cell>
          <cell r="F837">
            <v>5.2098911521953006</v>
          </cell>
          <cell r="G837">
            <v>3.4409882838664663</v>
          </cell>
          <cell r="H837">
            <v>2.3786588969339557</v>
          </cell>
          <cell r="I837">
            <v>1.4265533053604063</v>
          </cell>
          <cell r="J837">
            <v>0.63691958426298811</v>
          </cell>
        </row>
        <row r="838">
          <cell r="A838" t="str">
            <v>RHSA-WHNGABR</v>
          </cell>
          <cell r="B838" t="str">
            <v>VAR_fout</v>
          </cell>
          <cell r="C838" t="str">
            <v>CO2_R</v>
          </cell>
          <cell r="D838">
            <v>479.81944668575801</v>
          </cell>
          <cell r="E838">
            <v>391.63095827753</v>
          </cell>
          <cell r="F838">
            <v>555.54102999001702</v>
          </cell>
          <cell r="G838">
            <v>350.29291512057102</v>
          </cell>
          <cell r="H838">
            <v>239.63320577790401</v>
          </cell>
          <cell r="I838">
            <v>143.715243163791</v>
          </cell>
          <cell r="J838">
            <v>63.631392220190698</v>
          </cell>
        </row>
        <row r="839">
          <cell r="A839" t="str">
            <v>RHSA-WHNGABR</v>
          </cell>
          <cell r="B839" t="str">
            <v>VAR_fin</v>
          </cell>
          <cell r="C839" t="str">
            <v>RNGA</v>
          </cell>
          <cell r="D839">
            <v>8.5074369979744358</v>
          </cell>
          <cell r="E839">
            <v>6.9438113169774711</v>
          </cell>
          <cell r="F839">
            <v>9.8500182622343662</v>
          </cell>
          <cell r="G839">
            <v>6.2108672893718184</v>
          </cell>
          <cell r="H839">
            <v>4.2488157052819844</v>
          </cell>
          <cell r="I839">
            <v>2.5481426092870811</v>
          </cell>
          <cell r="J839">
            <v>1.1282161741168568</v>
          </cell>
        </row>
        <row r="840">
          <cell r="A840" t="str">
            <v>RHSA-WHNGABR</v>
          </cell>
          <cell r="B840" t="str">
            <v>VAR_ncap</v>
          </cell>
          <cell r="C840" t="str">
            <v>-</v>
          </cell>
          <cell r="E840">
            <v>1.2777307758621499E-5</v>
          </cell>
          <cell r="F840">
            <v>5.2685956135009598E-6</v>
          </cell>
          <cell r="G840">
            <v>6.4269173914872399E-6</v>
          </cell>
          <cell r="H840">
            <v>5.2216439385500801E-2</v>
          </cell>
          <cell r="I840">
            <v>4.9940391617701897E-2</v>
          </cell>
          <cell r="J840">
            <v>1.32053249867963E-5</v>
          </cell>
        </row>
        <row r="841">
          <cell r="A841" t="str">
            <v>RHSA-WHNGABR</v>
          </cell>
          <cell r="B841" t="str">
            <v>VAR_cap</v>
          </cell>
          <cell r="C841" t="str">
            <v>-</v>
          </cell>
          <cell r="D841">
            <v>0.43610075802020798</v>
          </cell>
          <cell r="E841">
            <v>0.43597688599444984</v>
          </cell>
          <cell r="F841">
            <v>0.43561150923411529</v>
          </cell>
          <cell r="G841">
            <v>0.43409237162383379</v>
          </cell>
          <cell r="H841">
            <v>0.16477732685106797</v>
          </cell>
          <cell r="I841">
            <v>0.10214673738134948</v>
          </cell>
          <cell r="J841">
            <v>5.8328135227309556E-2</v>
          </cell>
        </row>
        <row r="842">
          <cell r="A842" t="str">
            <v>ITOT-SWHWSTBR</v>
          </cell>
          <cell r="B842" t="str">
            <v>VAR_fout</v>
          </cell>
          <cell r="C842" t="str">
            <v>ITOT-SWH</v>
          </cell>
          <cell r="D842">
            <v>4.1174169544843391</v>
          </cell>
          <cell r="E842">
            <v>4.2667306877460165</v>
          </cell>
          <cell r="F842">
            <v>5.7220937662547611</v>
          </cell>
          <cell r="G842">
            <v>6.0522454199934543</v>
          </cell>
          <cell r="H842">
            <v>5.5194963051130177</v>
          </cell>
          <cell r="I842">
            <v>4.6504193290834204</v>
          </cell>
          <cell r="J842">
            <v>3.2361935718712505</v>
          </cell>
        </row>
        <row r="843">
          <cell r="A843" t="str">
            <v>ITOT-SWHWSTBR</v>
          </cell>
          <cell r="B843" t="str">
            <v>VAR_fout</v>
          </cell>
          <cell r="C843" t="str">
            <v>CO2_I</v>
          </cell>
          <cell r="D843">
            <v>723.66722230330799</v>
          </cell>
          <cell r="E843">
            <v>749.91024208869499</v>
          </cell>
          <cell r="F843">
            <v>1005.70132861447</v>
          </cell>
          <cell r="G843">
            <v>1063.72798290794</v>
          </cell>
          <cell r="H843">
            <v>970.09328998956005</v>
          </cell>
          <cell r="I843">
            <v>817.346427535874</v>
          </cell>
          <cell r="J843">
            <v>552.05655049568395</v>
          </cell>
        </row>
        <row r="844">
          <cell r="A844" t="str">
            <v>ITOT-SWHWSTBR</v>
          </cell>
          <cell r="B844" t="str">
            <v>VAR_fin</v>
          </cell>
          <cell r="C844" t="str">
            <v>IWST</v>
          </cell>
          <cell r="D844">
            <v>7.7981381713718525</v>
          </cell>
          <cell r="E844">
            <v>8.0809293328523033</v>
          </cell>
          <cell r="F844">
            <v>10.837298799724925</v>
          </cell>
          <cell r="G844">
            <v>11.462586022714868</v>
          </cell>
          <cell r="H844">
            <v>10.453591486956473</v>
          </cell>
          <cell r="I844">
            <v>8.8076123656883052</v>
          </cell>
          <cell r="J844">
            <v>5.9488852424103884</v>
          </cell>
        </row>
        <row r="845">
          <cell r="A845" t="str">
            <v>ITOT-SWHWSTBR</v>
          </cell>
          <cell r="B845" t="str">
            <v>VAR_ncap</v>
          </cell>
          <cell r="C845" t="str">
            <v>-</v>
          </cell>
          <cell r="E845">
            <v>2.9534702156191198E-4</v>
          </cell>
          <cell r="F845">
            <v>3.3034897794502402E-3</v>
          </cell>
          <cell r="G845">
            <v>1.1035311799147401E-3</v>
          </cell>
          <cell r="H845">
            <v>0.23190195988074799</v>
          </cell>
          <cell r="I845">
            <v>0.11157515758101599</v>
          </cell>
          <cell r="J845">
            <v>5.2789745238950303E-2</v>
          </cell>
        </row>
        <row r="846">
          <cell r="A846" t="str">
            <v>ITOT-SWHWSTBR</v>
          </cell>
          <cell r="B846" t="str">
            <v>VAR_cap</v>
          </cell>
          <cell r="C846" t="str">
            <v>-</v>
          </cell>
          <cell r="D846">
            <v>0.35954682816669398</v>
          </cell>
          <cell r="E846">
            <v>0.35972166923393006</v>
          </cell>
          <cell r="F846">
            <v>0.3627477669035265</v>
          </cell>
          <cell r="G846">
            <v>0.3624702228908267</v>
          </cell>
          <cell r="H846">
            <v>0.32833685575226623</v>
          </cell>
          <cell r="I846">
            <v>0.34288020154806803</v>
          </cell>
          <cell r="J846">
            <v>0.23012417435644186</v>
          </cell>
        </row>
        <row r="847">
          <cell r="A847" t="str">
            <v>SCOM-SHSTG-ELC</v>
          </cell>
          <cell r="B847" t="str">
            <v>VAR_fout</v>
          </cell>
          <cell r="C847" t="str">
            <v>SCOM-SHAELCB</v>
          </cell>
          <cell r="D847">
            <v>3.5495482986421672E-4</v>
          </cell>
          <cell r="E847">
            <v>3.2481469323005284E-3</v>
          </cell>
          <cell r="F847">
            <v>3.4663456736437062E-4</v>
          </cell>
          <cell r="G847">
            <v>3.5466579666674727E-4</v>
          </cell>
          <cell r="H847">
            <v>3.09822955498612E-4</v>
          </cell>
          <cell r="I847">
            <v>3.193450082812604E-4</v>
          </cell>
          <cell r="J847">
            <v>1.8732607262690048E-4</v>
          </cell>
        </row>
        <row r="848">
          <cell r="A848" t="str">
            <v>SCOM-SHSTG-ELC</v>
          </cell>
          <cell r="B848" t="str">
            <v>VAR_fin</v>
          </cell>
          <cell r="C848" t="str">
            <v>SCOM-SHAELCB</v>
          </cell>
          <cell r="D848">
            <v>3.6513783648456518E-4</v>
          </cell>
          <cell r="E848">
            <v>4.1674321010277699E-3</v>
          </cell>
          <cell r="F848">
            <v>4.0121692395879996E-4</v>
          </cell>
          <cell r="G848">
            <v>4.2504853415375652E-4</v>
          </cell>
          <cell r="H848">
            <v>3.4009411155447571E-4</v>
          </cell>
          <cell r="I848">
            <v>3.6988812789475416E-4</v>
          </cell>
          <cell r="J848">
            <v>2.0431558160977604E-4</v>
          </cell>
        </row>
        <row r="849">
          <cell r="A849" t="str">
            <v>SCOM-SHSTG-ELC</v>
          </cell>
          <cell r="B849" t="str">
            <v>VAR_ncap</v>
          </cell>
          <cell r="C849" t="str">
            <v>-</v>
          </cell>
          <cell r="D849">
            <v>3.8519432793578001E-2</v>
          </cell>
          <cell r="E849">
            <v>3.43417892742983E-4</v>
          </cell>
          <cell r="F849">
            <v>4.1560852433997799E-4</v>
          </cell>
          <cell r="G849">
            <v>4.8898083001516399E-4</v>
          </cell>
          <cell r="H849">
            <v>5.6108004265795998E-3</v>
          </cell>
          <cell r="I849">
            <v>9.3700430373273305E-4</v>
          </cell>
          <cell r="J849">
            <v>1.9352414973850701E-3</v>
          </cell>
        </row>
        <row r="850">
          <cell r="A850" t="str">
            <v>SCOM-SHSTG-ELC</v>
          </cell>
          <cell r="B850" t="str">
            <v>VAR_cap</v>
          </cell>
          <cell r="C850" t="str">
            <v>-</v>
          </cell>
          <cell r="D850">
            <v>3.8519432793578001E-2</v>
          </cell>
          <cell r="E850">
            <v>1.9201814735690097E-2</v>
          </cell>
          <cell r="F850">
            <v>1.7250380032952699E-2</v>
          </cell>
          <cell r="G850">
            <v>9.8810673846932012E-3</v>
          </cell>
          <cell r="H850">
            <v>8.0490361276436499E-3</v>
          </cell>
          <cell r="I850">
            <v>6.1525782276280697E-3</v>
          </cell>
          <cell r="J850">
            <v>4.2450086910241795E-3</v>
          </cell>
        </row>
        <row r="851">
          <cell r="A851" t="str">
            <v>SCOM-SHNGABR</v>
          </cell>
          <cell r="B851" t="str">
            <v>VAR_fout</v>
          </cell>
          <cell r="C851" t="str">
            <v>CO2_S</v>
          </cell>
          <cell r="D851">
            <v>1440.95087646311</v>
          </cell>
          <cell r="E851">
            <v>1508.4890124480301</v>
          </cell>
          <cell r="F851">
            <v>1282.2013583896501</v>
          </cell>
          <cell r="G851">
            <v>948.61851031839103</v>
          </cell>
          <cell r="H851">
            <v>635.329150650168</v>
          </cell>
          <cell r="I851">
            <v>338.22768668273602</v>
          </cell>
          <cell r="J851">
            <v>126.82231928101</v>
          </cell>
        </row>
        <row r="852">
          <cell r="A852" t="str">
            <v>SCOM-SHNGABR</v>
          </cell>
          <cell r="B852" t="str">
            <v>VAR_fout</v>
          </cell>
          <cell r="C852" t="str">
            <v>SCOM-SHNGA</v>
          </cell>
          <cell r="D852">
            <v>24.189797043386285</v>
          </cell>
          <cell r="E852">
            <v>25.32358573032193</v>
          </cell>
          <cell r="F852">
            <v>19.399026731304602</v>
          </cell>
          <cell r="G852">
            <v>14.580020031693589</v>
          </cell>
          <cell r="H852">
            <v>9.764843973041673</v>
          </cell>
          <cell r="I852">
            <v>5.1984716653405085</v>
          </cell>
          <cell r="J852">
            <v>1.9492260961283017</v>
          </cell>
        </row>
        <row r="853">
          <cell r="A853" t="str">
            <v>SCOM-SHNGABR</v>
          </cell>
          <cell r="B853" t="str">
            <v>VAR_fin</v>
          </cell>
          <cell r="C853" t="str">
            <v>SNGA</v>
          </cell>
          <cell r="D853">
            <v>25.548774405374239</v>
          </cell>
          <cell r="E853">
            <v>26.746259085957991</v>
          </cell>
          <cell r="F853">
            <v>22.734066638114321</v>
          </cell>
          <cell r="G853">
            <v>16.819477133304794</v>
          </cell>
          <cell r="H853">
            <v>11.264701252662539</v>
          </cell>
          <cell r="I853">
            <v>5.996944799339297</v>
          </cell>
          <cell r="J853">
            <v>2.2486226822874098</v>
          </cell>
        </row>
        <row r="854">
          <cell r="A854" t="str">
            <v>SCOM-SHNGABR</v>
          </cell>
          <cell r="B854" t="str">
            <v>VAR_ncap</v>
          </cell>
          <cell r="C854" t="str">
            <v>-</v>
          </cell>
          <cell r="D854">
            <v>2.9012457790720198E-6</v>
          </cell>
          <cell r="E854">
            <v>1.64373638095966E-5</v>
          </cell>
          <cell r="F854">
            <v>1.5256804537481399E-5</v>
          </cell>
          <cell r="G854">
            <v>2.4841632924722501E-5</v>
          </cell>
          <cell r="H854">
            <v>0.46614229830663301</v>
          </cell>
          <cell r="I854">
            <v>5.7119055890831397E-2</v>
          </cell>
          <cell r="J854">
            <v>1.75644198018808E-4</v>
          </cell>
        </row>
        <row r="855">
          <cell r="A855" t="str">
            <v>SCOM-SHNGABR</v>
          </cell>
          <cell r="B855" t="str">
            <v>VAR_cap</v>
          </cell>
          <cell r="C855" t="str">
            <v>-</v>
          </cell>
          <cell r="D855">
            <v>2.7746843991209991</v>
          </cell>
          <cell r="E855">
            <v>2.7634927996358405</v>
          </cell>
          <cell r="F855">
            <v>2.4548937160890181</v>
          </cell>
          <cell r="G855">
            <v>2.4530584458586695</v>
          </cell>
          <cell r="H855">
            <v>1.1022930684524039</v>
          </cell>
          <cell r="I855">
            <v>0.5232476899220404</v>
          </cell>
          <cell r="J855">
            <v>0.23876433598385777</v>
          </cell>
        </row>
        <row r="856">
          <cell r="A856" t="str">
            <v>RHEM-SHELCHP</v>
          </cell>
          <cell r="B856" t="str">
            <v>VAR_fout</v>
          </cell>
          <cell r="C856" t="str">
            <v>RHEM-SHAELCH</v>
          </cell>
          <cell r="D856">
            <v>9.9030336787867057</v>
          </cell>
          <cell r="E856">
            <v>11.655398608142388</v>
          </cell>
          <cell r="F856">
            <v>10.026877923705543</v>
          </cell>
          <cell r="G856">
            <v>14.926953389533587</v>
          </cell>
          <cell r="H856">
            <v>18.148845412049877</v>
          </cell>
          <cell r="I856">
            <v>22.204624174655933</v>
          </cell>
          <cell r="J856">
            <v>22.172924804185033</v>
          </cell>
        </row>
        <row r="857">
          <cell r="A857" t="str">
            <v>RHEM-SHELCHP</v>
          </cell>
          <cell r="B857" t="str">
            <v>VAR_fin</v>
          </cell>
          <cell r="C857" t="str">
            <v>RHEMELCHPC</v>
          </cell>
          <cell r="D857">
            <v>9.9030336787867057</v>
          </cell>
          <cell r="E857">
            <v>11.655398608142388</v>
          </cell>
          <cell r="F857">
            <v>10.026877923705543</v>
          </cell>
          <cell r="G857">
            <v>14.926953389533587</v>
          </cell>
          <cell r="H857">
            <v>18.148845412049877</v>
          </cell>
          <cell r="I857">
            <v>22.204624174655933</v>
          </cell>
          <cell r="J857">
            <v>22.172924804185033</v>
          </cell>
        </row>
        <row r="858">
          <cell r="A858" t="str">
            <v>RHEM-SHELCHP</v>
          </cell>
          <cell r="B858" t="str">
            <v>VAR_fin</v>
          </cell>
          <cell r="C858" t="str">
            <v>RHEM_ELC</v>
          </cell>
          <cell r="D858">
            <v>3.0946980246208424</v>
          </cell>
          <cell r="E858">
            <v>3.5826020311913149</v>
          </cell>
          <cell r="F858">
            <v>3.2329103877177485</v>
          </cell>
          <cell r="G858">
            <v>4.41162619889006</v>
          </cell>
          <cell r="H858">
            <v>5.0742858590200459</v>
          </cell>
          <cell r="I858">
            <v>5.8648201085904628</v>
          </cell>
          <cell r="J858">
            <v>5.3537328624390561</v>
          </cell>
        </row>
        <row r="859">
          <cell r="A859" t="str">
            <v>RHEM-SHELCHP</v>
          </cell>
          <cell r="B859" t="str">
            <v>VAR_ncap</v>
          </cell>
          <cell r="C859" t="str">
            <v>-</v>
          </cell>
          <cell r="D859">
            <v>1.6770873841115299E-5</v>
          </cell>
          <cell r="E859">
            <v>0.123748897446756</v>
          </cell>
          <cell r="F859">
            <v>1.8095301967799099E-5</v>
          </cell>
          <cell r="G859">
            <v>0.23159534139048599</v>
          </cell>
          <cell r="H859">
            <v>0.80598808654686604</v>
          </cell>
          <cell r="I859">
            <v>0.60491459528123803</v>
          </cell>
          <cell r="J859">
            <v>0.78631756156201005</v>
          </cell>
        </row>
        <row r="860">
          <cell r="A860" t="str">
            <v>RHEM-SHELCHP</v>
          </cell>
          <cell r="B860" t="str">
            <v>VAR_cap</v>
          </cell>
          <cell r="C860" t="str">
            <v>-</v>
          </cell>
          <cell r="D860">
            <v>0.69926872126584017</v>
          </cell>
          <cell r="E860">
            <v>0.82301637656344617</v>
          </cell>
          <cell r="F860">
            <v>0.82300757433657745</v>
          </cell>
          <cell r="G860">
            <v>1.0546161103294747</v>
          </cell>
          <cell r="H860">
            <v>1.2823223919100926</v>
          </cell>
          <cell r="I860">
            <v>1.5690753228048686</v>
          </cell>
          <cell r="J860">
            <v>1.5662496365169676</v>
          </cell>
        </row>
        <row r="861">
          <cell r="A861" t="str">
            <v>RHNM-SHSTG-ELC</v>
          </cell>
          <cell r="B861" t="str">
            <v>VAR_fout</v>
          </cell>
          <cell r="C861" t="str">
            <v>RHNM-SHAELCB</v>
          </cell>
          <cell r="E861">
            <v>9.9264222043302427E-3</v>
          </cell>
          <cell r="F861">
            <v>8.3209543619146195E-5</v>
          </cell>
          <cell r="G861">
            <v>9.7060361446588191E-5</v>
          </cell>
          <cell r="H861">
            <v>5.7804167233178827E-5</v>
          </cell>
          <cell r="I861">
            <v>1.7821184601581015E-4</v>
          </cell>
          <cell r="J861">
            <v>2.3491275427933172E-4</v>
          </cell>
        </row>
        <row r="862">
          <cell r="A862" t="str">
            <v>RHNM-SHSTG-ELC</v>
          </cell>
          <cell r="B862" t="str">
            <v>VAR_fout</v>
          </cell>
          <cell r="C862" t="str">
            <v>AUX_RHNM-SHSTG-ELC_OUT</v>
          </cell>
          <cell r="E862">
            <v>9.9363486265345771E-3</v>
          </cell>
          <cell r="F862">
            <v>8.3292753162765324E-5</v>
          </cell>
          <cell r="G862">
            <v>9.7157421808034727E-5</v>
          </cell>
          <cell r="H862">
            <v>5.786197140041198E-5</v>
          </cell>
          <cell r="I862">
            <v>1.7839005786182574E-4</v>
          </cell>
          <cell r="J862">
            <v>2.3514766703361089E-4</v>
          </cell>
        </row>
        <row r="863">
          <cell r="A863" t="str">
            <v>RHNM-SHSTG-ELC</v>
          </cell>
          <cell r="B863" t="str">
            <v>VAR_fin</v>
          </cell>
          <cell r="C863" t="str">
            <v>RHNM-SHAELCB</v>
          </cell>
          <cell r="E863">
            <v>9.849867811119661E-3</v>
          </cell>
          <cell r="F863">
            <v>2.563763619232318E-6</v>
          </cell>
          <cell r="G863">
            <v>3.0603237861941303E-5</v>
          </cell>
          <cell r="H863">
            <v>2.0808881230978791E-5</v>
          </cell>
          <cell r="I863">
            <v>1.1005072766313628E-4</v>
          </cell>
          <cell r="J863">
            <v>2.300625380664694E-4</v>
          </cell>
        </row>
        <row r="864">
          <cell r="A864" t="str">
            <v>RHNM-SHSTG-ELC</v>
          </cell>
          <cell r="B864" t="str">
            <v>VAR_ncap</v>
          </cell>
          <cell r="C864" t="str">
            <v>-</v>
          </cell>
          <cell r="D864">
            <v>1.46304056633485E-3</v>
          </cell>
          <cell r="E864">
            <v>2.7784448571520799E-3</v>
          </cell>
          <cell r="F864">
            <v>1.00507553242694E-3</v>
          </cell>
          <cell r="G864">
            <v>1.09258826339476E-3</v>
          </cell>
          <cell r="H864">
            <v>3.0765462761498099E-3</v>
          </cell>
          <cell r="I864">
            <v>8.2644686225426104E-4</v>
          </cell>
          <cell r="J864">
            <v>6.2229621783620897E-4</v>
          </cell>
        </row>
        <row r="865">
          <cell r="A865" t="str">
            <v>RHNM-SHSTG-ELC</v>
          </cell>
          <cell r="B865" t="str">
            <v>VAR_cap</v>
          </cell>
          <cell r="C865" t="str">
            <v>-</v>
          </cell>
          <cell r="D865">
            <v>1.46304056633485E-3</v>
          </cell>
          <cell r="E865">
            <v>4.0725712060975493E-3</v>
          </cell>
          <cell r="F865">
            <v>4.2466008414726707E-3</v>
          </cell>
          <cell r="G865">
            <v>4.2338206927211401E-3</v>
          </cell>
          <cell r="H865">
            <v>5.2637407328513797E-3</v>
          </cell>
          <cell r="I865">
            <v>3.1296324969747906E-3</v>
          </cell>
          <cell r="J865">
            <v>1.3246188133629101E-3</v>
          </cell>
        </row>
        <row r="866">
          <cell r="A866" t="str">
            <v>D-RWOD</v>
          </cell>
          <cell r="B866" t="str">
            <v>VAR_fout</v>
          </cell>
          <cell r="C866" t="str">
            <v>RWOD</v>
          </cell>
          <cell r="D866">
            <v>13.723481082941639</v>
          </cell>
          <cell r="E866">
            <v>15.204634650354425</v>
          </cell>
          <cell r="F866">
            <v>16.945578762872383</v>
          </cell>
          <cell r="G866">
            <v>15.000448781571004</v>
          </cell>
          <cell r="H866">
            <v>12.719797254982412</v>
          </cell>
          <cell r="I866">
            <v>10.590821377812407</v>
          </cell>
          <cell r="J866">
            <v>6.1682967456821167</v>
          </cell>
        </row>
        <row r="867">
          <cell r="A867" t="str">
            <v>D-RWOD</v>
          </cell>
          <cell r="B867" t="str">
            <v>VAR_fin</v>
          </cell>
          <cell r="C867" t="str">
            <v>WOD</v>
          </cell>
          <cell r="D867">
            <v>13.723481082941639</v>
          </cell>
          <cell r="E867">
            <v>15.204634650354425</v>
          </cell>
          <cell r="F867">
            <v>16.945578762872383</v>
          </cell>
          <cell r="G867">
            <v>15.000448781571004</v>
          </cell>
          <cell r="H867">
            <v>12.719797254982412</v>
          </cell>
          <cell r="I867">
            <v>10.590821377812407</v>
          </cell>
          <cell r="J867">
            <v>6.1682967456821167</v>
          </cell>
        </row>
        <row r="868">
          <cell r="A868" t="str">
            <v>RHNS-SHLTHCHPWOD</v>
          </cell>
          <cell r="B868" t="str">
            <v>VAR_ncap</v>
          </cell>
          <cell r="C868" t="str">
            <v>-</v>
          </cell>
          <cell r="G868">
            <v>1.6837955093124401E-4</v>
          </cell>
          <cell r="H868">
            <v>2.6672825217644399E-4</v>
          </cell>
          <cell r="I868">
            <v>1.6298712744368201E-4</v>
          </cell>
          <cell r="J868">
            <v>8.6419799409509198E-5</v>
          </cell>
        </row>
        <row r="869">
          <cell r="A869" t="str">
            <v>RHNS-SHLTHCHPWOD</v>
          </cell>
          <cell r="B869" t="str">
            <v>VAR_cap</v>
          </cell>
          <cell r="C869" t="str">
            <v>-</v>
          </cell>
          <cell r="G869">
            <v>1.6837955093124401E-4</v>
          </cell>
          <cell r="H869">
            <v>3.4814121434119502E-4</v>
          </cell>
          <cell r="I869">
            <v>2.9686820024819101E-4</v>
          </cell>
          <cell r="J869">
            <v>1.4699375846580602E-4</v>
          </cell>
        </row>
        <row r="870">
          <cell r="A870" t="str">
            <v>RHNM-SHELCBR</v>
          </cell>
          <cell r="B870" t="str">
            <v>VAR_fout</v>
          </cell>
          <cell r="C870" t="str">
            <v>RHNM-SHAELCB</v>
          </cell>
          <cell r="E870">
            <v>0.15443791056843106</v>
          </cell>
          <cell r="F870">
            <v>7.8965347869375117E-4</v>
          </cell>
          <cell r="G870">
            <v>1.6595769052436217E-3</v>
          </cell>
          <cell r="H870">
            <v>1.7863504442530425E-3</v>
          </cell>
          <cell r="I870">
            <v>1.9800421899642197E-3</v>
          </cell>
          <cell r="J870">
            <v>1.9671522180627244E-3</v>
          </cell>
        </row>
        <row r="871">
          <cell r="A871" t="str">
            <v>RHNM-SHELCBR</v>
          </cell>
          <cell r="B871" t="str">
            <v>VAR_fin</v>
          </cell>
          <cell r="C871" t="str">
            <v>RHNM_ELC</v>
          </cell>
          <cell r="E871">
            <v>0.1625662216509802</v>
          </cell>
          <cell r="F871">
            <v>8.3121418809868532E-4</v>
          </cell>
          <cell r="G871">
            <v>1.7469230581511812E-3</v>
          </cell>
          <cell r="H871">
            <v>1.8803688886874126E-3</v>
          </cell>
          <cell r="I871">
            <v>2.0842549368044407E-3</v>
          </cell>
          <cell r="J871">
            <v>2.0706865453291824E-3</v>
          </cell>
        </row>
        <row r="872">
          <cell r="A872" t="str">
            <v>RHNM-SHELCBR</v>
          </cell>
          <cell r="B872" t="str">
            <v>VAR_ncap</v>
          </cell>
          <cell r="C872" t="str">
            <v>-</v>
          </cell>
          <cell r="E872">
            <v>1.8020079448868701E-2</v>
          </cell>
          <cell r="H872">
            <v>1.32838727444236E-2</v>
          </cell>
        </row>
        <row r="873">
          <cell r="A873" t="str">
            <v>RHNM-SHELCBR</v>
          </cell>
          <cell r="B873" t="str">
            <v>VAR_cap</v>
          </cell>
          <cell r="C873" t="str">
            <v>-</v>
          </cell>
          <cell r="E873">
            <v>1.8020079448868701E-2</v>
          </cell>
          <cell r="F873">
            <v>1.7997740967347738E-2</v>
          </cell>
          <cell r="G873">
            <v>1.7944480003585919E-2</v>
          </cell>
          <cell r="H873">
            <v>2.2385455252757095E-2</v>
          </cell>
          <cell r="I873">
            <v>1.3275811273817783E-2</v>
          </cell>
          <cell r="J873">
            <v>5.6033779479975464E-3</v>
          </cell>
        </row>
        <row r="874">
          <cell r="A874" t="str">
            <v>RHNS-SHSTG-NGAHP</v>
          </cell>
          <cell r="B874" t="str">
            <v>VAR_fout</v>
          </cell>
          <cell r="C874" t="str">
            <v>RHNS-SHANGAH</v>
          </cell>
          <cell r="F874">
            <v>8.0226647865538452E-3</v>
          </cell>
          <cell r="G874">
            <v>2.5937406398620362E-2</v>
          </cell>
          <cell r="H874">
            <v>3.4851856355146045E-2</v>
          </cell>
          <cell r="I874">
            <v>4.4256230077575814E-2</v>
          </cell>
          <cell r="J874">
            <v>5.8892308154677643E-2</v>
          </cell>
        </row>
        <row r="875">
          <cell r="A875" t="str">
            <v>RHNS-SHSTG-NGAHP</v>
          </cell>
          <cell r="B875" t="str">
            <v>VAR_fout</v>
          </cell>
          <cell r="C875" t="str">
            <v>AUX_RHNS-SHSTG-NGAHP_OUT</v>
          </cell>
          <cell r="F875">
            <v>8.0306874513404059E-3</v>
          </cell>
          <cell r="G875">
            <v>2.5963343805019003E-2</v>
          </cell>
          <cell r="H875">
            <v>3.4886708211501131E-2</v>
          </cell>
          <cell r="I875">
            <v>4.4300486307653389E-2</v>
          </cell>
          <cell r="J875">
            <v>5.8951200462832316E-2</v>
          </cell>
        </row>
        <row r="876">
          <cell r="A876" t="str">
            <v>RHNS-SHSTG-NGAHP</v>
          </cell>
          <cell r="B876" t="str">
            <v>VAR_fin</v>
          </cell>
          <cell r="C876" t="str">
            <v>RHNS-SHANGAH</v>
          </cell>
          <cell r="F876">
            <v>8.4172563144792427E-3</v>
          </cell>
          <cell r="G876">
            <v>2.6331543328010982E-2</v>
          </cell>
          <cell r="H876">
            <v>3.5130502526852944E-2</v>
          </cell>
          <cell r="I876">
            <v>4.447351681209346E-2</v>
          </cell>
          <cell r="J876">
            <v>5.9170920231497968E-2</v>
          </cell>
        </row>
        <row r="877">
          <cell r="A877" t="str">
            <v>RHNS-SHSTG-NGAHP</v>
          </cell>
          <cell r="B877" t="str">
            <v>VAR_ncap</v>
          </cell>
          <cell r="C877" t="str">
            <v>-</v>
          </cell>
          <cell r="D877">
            <v>1.7812537811365899E-4</v>
          </cell>
          <cell r="E877">
            <v>1.8380635264387399E-4</v>
          </cell>
          <cell r="F877">
            <v>2.8099369215082298E-3</v>
          </cell>
          <cell r="G877">
            <v>4.71562458131529E-3</v>
          </cell>
          <cell r="H877">
            <v>3.4367378081101999E-3</v>
          </cell>
          <cell r="I877">
            <v>6.2811544181923E-3</v>
          </cell>
          <cell r="J877">
            <v>9.6910203138090897E-3</v>
          </cell>
        </row>
        <row r="878">
          <cell r="A878" t="str">
            <v>RHNS-SHSTG-NGAHP</v>
          </cell>
          <cell r="B878" t="str">
            <v>VAR_cap</v>
          </cell>
          <cell r="C878" t="str">
            <v>-</v>
          </cell>
          <cell r="D878">
            <v>1.7812537811365899E-4</v>
          </cell>
          <cell r="E878">
            <v>1.3933460359447005E-5</v>
          </cell>
          <cell r="F878">
            <v>2.6735978844528831E-3</v>
          </cell>
          <cell r="G878">
            <v>7.0657019005456794E-3</v>
          </cell>
          <cell r="H878">
            <v>1.007170819774156E-2</v>
          </cell>
          <cell r="I878">
            <v>1.2522084497946284E-2</v>
          </cell>
          <cell r="J878">
            <v>1.513709656016295E-2</v>
          </cell>
        </row>
        <row r="879">
          <cell r="A879" t="str">
            <v>RHNS-SHLTHDH</v>
          </cell>
          <cell r="B879" t="str">
            <v>VAR_fout</v>
          </cell>
          <cell r="C879" t="str">
            <v>RHNS-SHLTHD</v>
          </cell>
          <cell r="E879">
            <v>5.4175690548459679E-2</v>
          </cell>
          <cell r="F879">
            <v>3.0916322868036572E-3</v>
          </cell>
          <cell r="G879">
            <v>0.14949902547956601</v>
          </cell>
          <cell r="H879">
            <v>0.15934002505271527</v>
          </cell>
          <cell r="I879">
            <v>0.17132291797902582</v>
          </cell>
          <cell r="J879">
            <v>0.19868261028815468</v>
          </cell>
        </row>
        <row r="880">
          <cell r="A880" t="str">
            <v>RHNS-SHLTHDH</v>
          </cell>
          <cell r="B880" t="str">
            <v>VAR_fin</v>
          </cell>
          <cell r="C880" t="str">
            <v>RHNS_LTH_DH</v>
          </cell>
          <cell r="E880">
            <v>5.4722919745918884E-2</v>
          </cell>
          <cell r="F880">
            <v>3.4194417493835089E-3</v>
          </cell>
          <cell r="G880">
            <v>0.16441057041326471</v>
          </cell>
          <cell r="H880">
            <v>0.17518280883366746</v>
          </cell>
          <cell r="I880">
            <v>0.18826841729994523</v>
          </cell>
          <cell r="J880">
            <v>0.21820988630940233</v>
          </cell>
        </row>
        <row r="881">
          <cell r="A881" t="str">
            <v>RHNS-SHLTHDH</v>
          </cell>
          <cell r="B881" t="str">
            <v>VAR_fin</v>
          </cell>
          <cell r="C881" t="str">
            <v>RHNSLTHDHC</v>
          </cell>
          <cell r="E881">
            <v>5.4175690548459679E-2</v>
          </cell>
          <cell r="F881">
            <v>3.0916322868036572E-3</v>
          </cell>
          <cell r="G881">
            <v>0.14949902547956601</v>
          </cell>
          <cell r="H881">
            <v>0.15934002505271527</v>
          </cell>
          <cell r="I881">
            <v>0.17132291797902582</v>
          </cell>
          <cell r="J881">
            <v>0.19868261028815468</v>
          </cell>
        </row>
        <row r="882">
          <cell r="A882" t="str">
            <v>RHNS-SHLTHDH</v>
          </cell>
          <cell r="B882" t="str">
            <v>VAR_ncap</v>
          </cell>
          <cell r="C882" t="str">
            <v>-</v>
          </cell>
          <cell r="E882">
            <v>1.5589720533196899E-2</v>
          </cell>
          <cell r="F882">
            <v>4.0900792287968099E-2</v>
          </cell>
          <cell r="G882">
            <v>1.63603508135543E-2</v>
          </cell>
          <cell r="H882">
            <v>9.6422066897580306E-3</v>
          </cell>
          <cell r="I882">
            <v>8.2991758476471302E-3</v>
          </cell>
          <cell r="J882">
            <v>1.20191159298684E-2</v>
          </cell>
        </row>
        <row r="883">
          <cell r="A883" t="str">
            <v>RHNS-SHLTHDH</v>
          </cell>
          <cell r="B883" t="str">
            <v>VAR_cap</v>
          </cell>
          <cell r="C883" t="str">
            <v>-</v>
          </cell>
          <cell r="E883">
            <v>1.5589720533196899E-2</v>
          </cell>
          <cell r="F883">
            <v>4.9846483391263657E-2</v>
          </cell>
          <cell r="G883">
            <v>2.8368461115262804E-2</v>
          </cell>
          <cell r="H883">
            <v>2.0519111076851802E-2</v>
          </cell>
          <cell r="I883">
            <v>1.8208135156784003E-2</v>
          </cell>
          <cell r="J883">
            <v>2.0541638460848E-2</v>
          </cell>
        </row>
        <row r="884">
          <cell r="A884" t="str">
            <v>ITOT-SWHNGAHP</v>
          </cell>
          <cell r="B884" t="str">
            <v>VAR_fout</v>
          </cell>
          <cell r="C884" t="str">
            <v>ITOT-SWHANGAH</v>
          </cell>
          <cell r="F884">
            <v>7.2732520008101903E-2</v>
          </cell>
          <cell r="G884">
            <v>2.6222601149550204E-2</v>
          </cell>
          <cell r="H884">
            <v>5.6870534787086757E-2</v>
          </cell>
          <cell r="I884">
            <v>3.1031856556590649E-2</v>
          </cell>
          <cell r="J884">
            <v>1.9324300630132258E-2</v>
          </cell>
        </row>
        <row r="885">
          <cell r="A885" t="str">
            <v>ITOT-SWHNGAHP</v>
          </cell>
          <cell r="B885" t="str">
            <v>VAR_fout</v>
          </cell>
          <cell r="C885" t="str">
            <v>CO2_I</v>
          </cell>
          <cell r="F885">
            <v>2.1756984185718902</v>
          </cell>
          <cell r="G885">
            <v>0.76938328260584998</v>
          </cell>
          <cell r="H885">
            <v>1.63723383858445</v>
          </cell>
          <cell r="I885">
            <v>0.87688198534231299</v>
          </cell>
          <cell r="J885">
            <v>0.52661798049248498</v>
          </cell>
        </row>
        <row r="886">
          <cell r="A886" t="str">
            <v>ITOT-SWHNGAHP</v>
          </cell>
          <cell r="B886" t="str">
            <v>VAR_fin</v>
          </cell>
          <cell r="C886" t="str">
            <v>ITOTELCHPC</v>
          </cell>
          <cell r="F886">
            <v>7.2732520008101903E-2</v>
          </cell>
          <cell r="G886">
            <v>2.6222601149550204E-2</v>
          </cell>
          <cell r="H886">
            <v>5.6870534787086757E-2</v>
          </cell>
          <cell r="I886">
            <v>3.1031856556590649E-2</v>
          </cell>
          <cell r="J886">
            <v>1.9324300630132258E-2</v>
          </cell>
        </row>
        <row r="887">
          <cell r="A887" t="str">
            <v>ITOT-SWHNGAHP</v>
          </cell>
          <cell r="B887" t="str">
            <v>VAR_fin</v>
          </cell>
          <cell r="C887" t="str">
            <v>INGA</v>
          </cell>
          <cell r="F887">
            <v>3.8576213095246274E-2</v>
          </cell>
          <cell r="G887">
            <v>1.3641547563933517E-2</v>
          </cell>
          <cell r="H887">
            <v>2.9028968769227743E-2</v>
          </cell>
          <cell r="I887">
            <v>1.5547552931601278E-2</v>
          </cell>
          <cell r="J887">
            <v>9.3371982356823587E-3</v>
          </cell>
        </row>
        <row r="888">
          <cell r="A888" t="str">
            <v>ITOT-SWHNGAHP</v>
          </cell>
          <cell r="B888" t="str">
            <v>VAR_ncap</v>
          </cell>
          <cell r="C888" t="str">
            <v>-</v>
          </cell>
          <cell r="E888">
            <v>6.2952223019076096E-3</v>
          </cell>
          <cell r="F888">
            <v>1.34452987966574E-4</v>
          </cell>
          <cell r="G888">
            <v>1.91726294880785E-5</v>
          </cell>
          <cell r="H888">
            <v>3.77637327498142E-3</v>
          </cell>
          <cell r="I888">
            <v>7.9196817323648003E-5</v>
          </cell>
          <cell r="J888">
            <v>6.0129449991752702E-4</v>
          </cell>
        </row>
        <row r="889">
          <cell r="A889" t="str">
            <v>ITOT-SWHNGAHP</v>
          </cell>
          <cell r="B889" t="str">
            <v>VAR_cap</v>
          </cell>
          <cell r="C889" t="str">
            <v>-</v>
          </cell>
          <cell r="E889">
            <v>6.2952223019076096E-3</v>
          </cell>
          <cell r="F889">
            <v>6.4007498035958616E-3</v>
          </cell>
          <cell r="G889">
            <v>2.8293946700429897E-3</v>
          </cell>
          <cell r="H889">
            <v>5.2764141138245801E-3</v>
          </cell>
          <cell r="I889">
            <v>3.3358025842918958E-3</v>
          </cell>
          <cell r="J889">
            <v>1.9888529647645158E-3</v>
          </cell>
        </row>
        <row r="890">
          <cell r="A890" t="str">
            <v>RHSA-WHLFOBR</v>
          </cell>
          <cell r="B890" t="str">
            <v>VAR_fout</v>
          </cell>
          <cell r="C890" t="str">
            <v>CO2_R</v>
          </cell>
          <cell r="D890">
            <v>726.729998070021</v>
          </cell>
          <cell r="E890">
            <v>603.81232171432998</v>
          </cell>
          <cell r="F890">
            <v>658.22139672475805</v>
          </cell>
          <cell r="G890">
            <v>290.89892708687398</v>
          </cell>
          <cell r="H890">
            <v>194.827938128227</v>
          </cell>
          <cell r="I890">
            <v>96.612354264071996</v>
          </cell>
          <cell r="J890">
            <v>7.2910471320438504</v>
          </cell>
        </row>
        <row r="891">
          <cell r="A891" t="str">
            <v>RHSA-WHLFOBR</v>
          </cell>
          <cell r="B891" t="str">
            <v>VAR_fout</v>
          </cell>
          <cell r="C891" t="str">
            <v>RHSA-WHLFO</v>
          </cell>
          <cell r="D891">
            <v>6.9846279778326181</v>
          </cell>
          <cell r="E891">
            <v>5.8544670496385915</v>
          </cell>
          <cell r="F891">
            <v>4.4836979255221125</v>
          </cell>
          <cell r="G891">
            <v>2.1231662544547563</v>
          </cell>
          <cell r="H891">
            <v>1.4574522724710124</v>
          </cell>
          <cell r="I891">
            <v>0.73351587160113951</v>
          </cell>
          <cell r="J891">
            <v>5.835306005670108E-2</v>
          </cell>
        </row>
        <row r="892">
          <cell r="A892" t="str">
            <v>RHSA-WHLFOBR</v>
          </cell>
          <cell r="B892" t="str">
            <v>VAR_fin</v>
          </cell>
          <cell r="C892" t="str">
            <v>RLFO</v>
          </cell>
          <cell r="D892">
            <v>9.8606512628225165</v>
          </cell>
          <cell r="E892">
            <v>8.1928401860831652</v>
          </cell>
          <cell r="F892">
            <v>8.9310908646507343</v>
          </cell>
          <cell r="G892">
            <v>3.9470682101339736</v>
          </cell>
          <cell r="H892">
            <v>2.6435269759596611</v>
          </cell>
          <cell r="I892">
            <v>1.3108867607065386</v>
          </cell>
          <cell r="J892">
            <v>9.8928726350662785E-2</v>
          </cell>
        </row>
        <row r="893">
          <cell r="A893" t="str">
            <v>RHSA-WHLFOBR</v>
          </cell>
          <cell r="B893" t="str">
            <v>VAR_ncap</v>
          </cell>
          <cell r="C893" t="str">
            <v>-</v>
          </cell>
          <cell r="E893">
            <v>6.7005014714817597E-6</v>
          </cell>
          <cell r="F893">
            <v>2.76600558444557E-6</v>
          </cell>
          <cell r="G893">
            <v>5.4987703994920097E-6</v>
          </cell>
          <cell r="H893">
            <v>4.5716107692648597E-2</v>
          </cell>
          <cell r="I893">
            <v>4.6865889155324504E-3</v>
          </cell>
        </row>
        <row r="894">
          <cell r="A894" t="str">
            <v>RHSA-WHLFOBR</v>
          </cell>
          <cell r="B894" t="str">
            <v>VAR_cap</v>
          </cell>
          <cell r="C894" t="str">
            <v>-</v>
          </cell>
          <cell r="D894">
            <v>0.47738433216181703</v>
          </cell>
          <cell r="E894">
            <v>0.47722932399319301</v>
          </cell>
          <cell r="F894">
            <v>0.35136389197531193</v>
          </cell>
          <cell r="G894">
            <v>0.22652625532743143</v>
          </cell>
          <cell r="H894">
            <v>0.10444688192184001</v>
          </cell>
          <cell r="I894">
            <v>5.0396972234560015E-2</v>
          </cell>
          <cell r="J894">
            <v>5.7820951305594011E-3</v>
          </cell>
        </row>
        <row r="895">
          <cell r="A895" t="str">
            <v>D-IWST</v>
          </cell>
          <cell r="B895" t="str">
            <v>VAR_fout</v>
          </cell>
          <cell r="C895" t="str">
            <v>CO2</v>
          </cell>
          <cell r="D895">
            <v>1068.1467514154299</v>
          </cell>
          <cell r="E895">
            <v>1114.5279192180899</v>
          </cell>
          <cell r="F895">
            <v>1024.64874575832</v>
          </cell>
          <cell r="G895">
            <v>1085.2835714412199</v>
          </cell>
          <cell r="H895">
            <v>1001.75820873872</v>
          </cell>
          <cell r="I895">
            <v>1073.7819792759699</v>
          </cell>
          <cell r="J895">
            <v>1086.8531425791</v>
          </cell>
        </row>
        <row r="896">
          <cell r="A896" t="str">
            <v>D-IWST</v>
          </cell>
          <cell r="B896" t="str">
            <v>VAR_fout</v>
          </cell>
          <cell r="C896" t="str">
            <v>IWST</v>
          </cell>
          <cell r="D896">
            <v>11.510202062666306</v>
          </cell>
          <cell r="E896">
            <v>12.009999129505342</v>
          </cell>
          <cell r="F896">
            <v>11.041473553430187</v>
          </cell>
          <cell r="G896">
            <v>11.694866071564908</v>
          </cell>
          <cell r="H896">
            <v>10.794808283822427</v>
          </cell>
          <cell r="I896">
            <v>11.570926500818633</v>
          </cell>
          <cell r="J896">
            <v>11.711779553654047</v>
          </cell>
        </row>
        <row r="897">
          <cell r="A897" t="str">
            <v>D-IWST</v>
          </cell>
          <cell r="B897" t="str">
            <v>VAR_fin</v>
          </cell>
          <cell r="C897" t="str">
            <v>WSTNREN</v>
          </cell>
          <cell r="D897">
            <v>11.510202062666306</v>
          </cell>
          <cell r="E897">
            <v>12.009999129505342</v>
          </cell>
          <cell r="F897">
            <v>11.041473553430187</v>
          </cell>
          <cell r="G897">
            <v>11.694866071564908</v>
          </cell>
          <cell r="H897">
            <v>10.794808283822427</v>
          </cell>
          <cell r="I897">
            <v>11.570926500818633</v>
          </cell>
          <cell r="J897">
            <v>11.711779553654047</v>
          </cell>
        </row>
        <row r="898">
          <cell r="A898" t="str">
            <v>RHES-SHLFOBR</v>
          </cell>
          <cell r="B898" t="str">
            <v>VAR_fout</v>
          </cell>
          <cell r="C898" t="str">
            <v>CO2_R</v>
          </cell>
          <cell r="D898">
            <v>1783.67686066532</v>
          </cell>
          <cell r="E898">
            <v>1640.9746237633001</v>
          </cell>
          <cell r="F898">
            <v>1237.9224606564801</v>
          </cell>
          <cell r="G898">
            <v>591.29789336870397</v>
          </cell>
          <cell r="H898">
            <v>349.248890560738</v>
          </cell>
          <cell r="I898">
            <v>114.619027356453</v>
          </cell>
          <cell r="J898">
            <v>11.3057494504595</v>
          </cell>
        </row>
        <row r="899">
          <cell r="A899" t="str">
            <v>RHES-SHLFOBR</v>
          </cell>
          <cell r="B899" t="str">
            <v>VAR_fout</v>
          </cell>
          <cell r="C899" t="str">
            <v>RHES-SHLFO</v>
          </cell>
          <cell r="D899">
            <v>21.680830226314097</v>
          </cell>
          <cell r="E899">
            <v>19.946265496896796</v>
          </cell>
          <cell r="F899">
            <v>14.272948224789113</v>
          </cell>
          <cell r="G899">
            <v>6.9399075524483633</v>
          </cell>
          <cell r="H899">
            <v>4.1053607884264682</v>
          </cell>
          <cell r="I899">
            <v>1.3451158172911679</v>
          </cell>
          <cell r="J899">
            <v>0.1328840631179164</v>
          </cell>
        </row>
        <row r="900">
          <cell r="A900" t="str">
            <v>RHES-SHLFOBR</v>
          </cell>
          <cell r="B900" t="str">
            <v>VAR_fin</v>
          </cell>
          <cell r="C900" t="str">
            <v>RLFO</v>
          </cell>
          <cell r="D900">
            <v>24.201856996815707</v>
          </cell>
          <cell r="E900">
            <v>22.265598694210354</v>
          </cell>
          <cell r="F900">
            <v>16.796776942421751</v>
          </cell>
          <cell r="G900">
            <v>8.0230379018820077</v>
          </cell>
          <cell r="H900">
            <v>4.7387909166992923</v>
          </cell>
          <cell r="I900">
            <v>1.5552106832625927</v>
          </cell>
          <cell r="J900">
            <v>0.15340229919212398</v>
          </cell>
        </row>
        <row r="901">
          <cell r="A901" t="str">
            <v>RHES-SHLFOBR</v>
          </cell>
          <cell r="B901" t="str">
            <v>VAR_ncap</v>
          </cell>
          <cell r="C901" t="str">
            <v>-</v>
          </cell>
          <cell r="E901">
            <v>3.3023980335218099E-6</v>
          </cell>
          <cell r="F901">
            <v>2.0114775108692401E-6</v>
          </cell>
          <cell r="G901">
            <v>3.4041962712037801E-6</v>
          </cell>
          <cell r="H901">
            <v>1.40648372557907E-2</v>
          </cell>
          <cell r="I901">
            <v>9.4922254939259404E-2</v>
          </cell>
          <cell r="J901">
            <v>1.73037408254202E-6</v>
          </cell>
        </row>
        <row r="902">
          <cell r="A902" t="str">
            <v>RHES-SHLFOBR</v>
          </cell>
          <cell r="B902" t="str">
            <v>VAR_cap</v>
          </cell>
          <cell r="C902" t="str">
            <v>-</v>
          </cell>
          <cell r="D902">
            <v>1.7515307393373001</v>
          </cell>
          <cell r="E902">
            <v>1.7505536175479406</v>
          </cell>
          <cell r="F902">
            <v>1.2424715511101876</v>
          </cell>
          <cell r="G902">
            <v>1.2359052300486266</v>
          </cell>
          <cell r="H902">
            <v>0.3345663263783536</v>
          </cell>
          <cell r="I902">
            <v>0.10898313785380126</v>
          </cell>
          <cell r="J902">
            <v>1.7437651601324197E-2</v>
          </cell>
        </row>
        <row r="903">
          <cell r="A903" t="str">
            <v>ITOT-SWHSTG</v>
          </cell>
          <cell r="B903" t="str">
            <v>VAR_fout</v>
          </cell>
          <cell r="C903" t="str">
            <v>ITOT-SWH</v>
          </cell>
          <cell r="D903">
            <v>1.2012174318184833E-4</v>
          </cell>
          <cell r="E903">
            <v>4.8700551630116908E-3</v>
          </cell>
          <cell r="F903">
            <v>5.7055805585679201E-2</v>
          </cell>
          <cell r="G903">
            <v>3.2082192524260832E-2</v>
          </cell>
          <cell r="H903">
            <v>0.11748203749568582</v>
          </cell>
          <cell r="I903">
            <v>0.3230423817159459</v>
          </cell>
          <cell r="J903">
            <v>2.0069061696648056</v>
          </cell>
        </row>
        <row r="904">
          <cell r="A904" t="str">
            <v>ITOT-SWHSTG</v>
          </cell>
          <cell r="B904" t="str">
            <v>VAR_fout</v>
          </cell>
          <cell r="C904" t="str">
            <v>AUX_ITOT-STG_OUT</v>
          </cell>
          <cell r="D904">
            <v>1.2012174318184817E-4</v>
          </cell>
          <cell r="E904">
            <v>4.8660777814278945E-3</v>
          </cell>
          <cell r="F904">
            <v>5.6983030323452588E-2</v>
          </cell>
          <cell r="G904">
            <v>3.208219252426088E-2</v>
          </cell>
          <cell r="H904">
            <v>0.11735150189846841</v>
          </cell>
          <cell r="I904">
            <v>0.32304238171594635</v>
          </cell>
          <cell r="J904">
            <v>2.0069061696648065</v>
          </cell>
        </row>
        <row r="905">
          <cell r="A905" t="str">
            <v>ITOT-SWHSTG</v>
          </cell>
          <cell r="B905" t="str">
            <v>VAR_fin</v>
          </cell>
          <cell r="C905" t="str">
            <v>AUX_ITOT-STG_IN</v>
          </cell>
          <cell r="D905">
            <v>1.4829927106231066E-4</v>
          </cell>
          <cell r="E905">
            <v>5.9246411464044767E-3</v>
          </cell>
          <cell r="F905">
            <v>6.7923578514015925E-2</v>
          </cell>
          <cell r="G905">
            <v>3.6876084714990369E-2</v>
          </cell>
          <cell r="H905">
            <v>0.13053559589352437</v>
          </cell>
          <cell r="I905">
            <v>0.34735740933043507</v>
          </cell>
          <cell r="J905">
            <v>2.0271779662219802</v>
          </cell>
        </row>
        <row r="906">
          <cell r="A906" t="str">
            <v>ITOT-SWHSTG</v>
          </cell>
          <cell r="B906" t="str">
            <v>VAR_fin</v>
          </cell>
          <cell r="C906" t="str">
            <v>ITOT-SWH</v>
          </cell>
          <cell r="D906">
            <v>1.4829927106231066E-4</v>
          </cell>
          <cell r="E906">
            <v>5.9246411464044767E-3</v>
          </cell>
          <cell r="F906">
            <v>6.7923578514015925E-2</v>
          </cell>
          <cell r="G906">
            <v>3.6876084714990369E-2</v>
          </cell>
          <cell r="H906">
            <v>0.13053559589352437</v>
          </cell>
          <cell r="I906">
            <v>0.34735740933043507</v>
          </cell>
          <cell r="J906">
            <v>2.0271779662219802</v>
          </cell>
        </row>
        <row r="907">
          <cell r="A907" t="str">
            <v>ITOT-SWHSTG</v>
          </cell>
          <cell r="B907" t="str">
            <v>VAR_ncap</v>
          </cell>
          <cell r="C907" t="str">
            <v>-</v>
          </cell>
          <cell r="D907">
            <v>1.84799623810213E-2</v>
          </cell>
          <cell r="E907">
            <v>1.3553097492080999E-4</v>
          </cell>
          <cell r="F907">
            <v>1.50903264582423E-4</v>
          </cell>
          <cell r="G907">
            <v>1.01741911535731E-4</v>
          </cell>
          <cell r="H907">
            <v>3.13725019939071E-2</v>
          </cell>
          <cell r="I907">
            <v>3.5230220552974097E-2</v>
          </cell>
          <cell r="J907">
            <v>0.19016737970346001</v>
          </cell>
        </row>
        <row r="908">
          <cell r="A908" t="str">
            <v>ITOT-SWHSTG</v>
          </cell>
          <cell r="B908" t="str">
            <v>VAR_cap</v>
          </cell>
          <cell r="C908" t="str">
            <v>-</v>
          </cell>
          <cell r="D908">
            <v>1.84799623810213E-2</v>
          </cell>
          <cell r="E908">
            <v>1.8597021753481015E-2</v>
          </cell>
          <cell r="F908">
            <v>1.8721678421596225E-2</v>
          </cell>
          <cell r="G908">
            <v>1.8764804618206933E-2</v>
          </cell>
          <cell r="H908">
            <v>3.62914656228202E-2</v>
          </cell>
          <cell r="I908">
            <v>6.6606995494060961E-2</v>
          </cell>
          <cell r="J908">
            <v>0.22888853398068446</v>
          </cell>
        </row>
        <row r="909">
          <cell r="A909" t="str">
            <v>SCOM-SHLFOBR</v>
          </cell>
          <cell r="B909" t="str">
            <v>VAR_fout</v>
          </cell>
          <cell r="C909" t="str">
            <v>CO2_S</v>
          </cell>
          <cell r="D909">
            <v>2229.9172547481699</v>
          </cell>
          <cell r="E909">
            <v>1901.4017817936301</v>
          </cell>
          <cell r="F909">
            <v>1924.62038695047</v>
          </cell>
          <cell r="G909">
            <v>1141.5613924884201</v>
          </cell>
          <cell r="H909">
            <v>821.84657732135997</v>
          </cell>
          <cell r="I909">
            <v>400.54920633594401</v>
          </cell>
          <cell r="J909">
            <v>31.141466981068799</v>
          </cell>
        </row>
        <row r="910">
          <cell r="A910" t="str">
            <v>SCOM-SHLFOBR</v>
          </cell>
          <cell r="B910" t="str">
            <v>VAR_fout</v>
          </cell>
          <cell r="C910" t="str">
            <v>SCOM-SHLFO</v>
          </cell>
          <cell r="D910">
            <v>24.84310667054552</v>
          </cell>
          <cell r="E910">
            <v>21.225121811907183</v>
          </cell>
          <cell r="F910">
            <v>20.675718559819455</v>
          </cell>
          <cell r="G910">
            <v>12.681970222599137</v>
          </cell>
          <cell r="H910">
            <v>9.1301561963433819</v>
          </cell>
          <cell r="I910">
            <v>4.4498291032470156</v>
          </cell>
          <cell r="J910">
            <v>0.34596050597075112</v>
          </cell>
        </row>
        <row r="911">
          <cell r="A911" t="str">
            <v>SCOM-SHLFOBR</v>
          </cell>
          <cell r="B911" t="str">
            <v>VAR_fin</v>
          </cell>
          <cell r="C911" t="str">
            <v>SLFO</v>
          </cell>
          <cell r="D911">
            <v>30.256679168903222</v>
          </cell>
          <cell r="E911">
            <v>25.799210065042509</v>
          </cell>
          <cell r="F911">
            <v>26.114252197428314</v>
          </cell>
          <cell r="G911">
            <v>15.489299762393747</v>
          </cell>
          <cell r="H911">
            <v>11.151242568810867</v>
          </cell>
          <cell r="I911">
            <v>5.4348603302027643</v>
          </cell>
          <cell r="J911">
            <v>0.42254364967528873</v>
          </cell>
        </row>
        <row r="912">
          <cell r="A912" t="str">
            <v>SCOM-SHLFOBR</v>
          </cell>
          <cell r="B912" t="str">
            <v>VAR_ncap</v>
          </cell>
          <cell r="C912" t="str">
            <v>-</v>
          </cell>
          <cell r="D912">
            <v>4.4530037536301503E-5</v>
          </cell>
          <cell r="E912">
            <v>2.17210904719528E-5</v>
          </cell>
          <cell r="F912">
            <v>1.42338276648176E-5</v>
          </cell>
          <cell r="G912">
            <v>1.9722071206102001E-5</v>
          </cell>
          <cell r="H912">
            <v>0.34709341650102699</v>
          </cell>
          <cell r="I912">
            <v>7.1560417634599307E-5</v>
          </cell>
          <cell r="J912">
            <v>5.7489450386197802E-6</v>
          </cell>
        </row>
        <row r="913">
          <cell r="A913" t="str">
            <v>SCOM-SHLFOBR</v>
          </cell>
          <cell r="B913" t="str">
            <v>VAR_cap</v>
          </cell>
          <cell r="C913" t="str">
            <v>-</v>
          </cell>
          <cell r="D913">
            <v>1.9286181872626562</v>
          </cell>
          <cell r="E913">
            <v>1.7632298083626252</v>
          </cell>
          <cell r="F913">
            <v>1.739096190723606</v>
          </cell>
          <cell r="G913">
            <v>1.7364734098863761</v>
          </cell>
          <cell r="H913">
            <v>0.79741275366331599</v>
          </cell>
          <cell r="I913">
            <v>0.34716280022267326</v>
          </cell>
          <cell r="J913">
            <v>5.7531663360244192E-2</v>
          </cell>
        </row>
        <row r="914">
          <cell r="A914" t="str">
            <v>RHNM-SHPLTBR</v>
          </cell>
          <cell r="B914" t="str">
            <v>VAR_fout</v>
          </cell>
          <cell r="C914" t="str">
            <v>RHNM-SHPLT</v>
          </cell>
          <cell r="E914">
            <v>7.3585810215565303E-2</v>
          </cell>
          <cell r="F914">
            <v>7.8491820866934941E-3</v>
          </cell>
          <cell r="G914">
            <v>1.6523732629620948E-2</v>
          </cell>
          <cell r="H914">
            <v>1.9034162263765378E-2</v>
          </cell>
          <cell r="I914">
            <v>2.1658090418863383E-2</v>
          </cell>
          <cell r="J914">
            <v>2.6449920421258797E-2</v>
          </cell>
        </row>
        <row r="915">
          <cell r="A915" t="str">
            <v>RHNM-SHPLTBR</v>
          </cell>
          <cell r="B915" t="str">
            <v>VAR_fin</v>
          </cell>
          <cell r="C915" t="str">
            <v>RPLT</v>
          </cell>
          <cell r="E915">
            <v>8.1762011350628175E-2</v>
          </cell>
          <cell r="F915">
            <v>1.0577141811578565E-2</v>
          </cell>
          <cell r="G915">
            <v>2.1877445251010517E-2</v>
          </cell>
          <cell r="H915">
            <v>2.508632635194467E-2</v>
          </cell>
          <cell r="I915">
            <v>2.8314923341461476E-2</v>
          </cell>
          <cell r="J915">
            <v>3.4579570711525488E-2</v>
          </cell>
        </row>
        <row r="916">
          <cell r="A916" t="str">
            <v>RHNM-SHPLTBR</v>
          </cell>
          <cell r="B916" t="str">
            <v>VAR_fin</v>
          </cell>
          <cell r="C916" t="str">
            <v>RHNMPLTBRC</v>
          </cell>
          <cell r="E916">
            <v>7.3585810215565303E-2</v>
          </cell>
          <cell r="F916">
            <v>7.8491820866934941E-3</v>
          </cell>
          <cell r="G916">
            <v>1.6523732629620948E-2</v>
          </cell>
          <cell r="H916">
            <v>1.9034162263765378E-2</v>
          </cell>
          <cell r="I916">
            <v>2.1658090418863383E-2</v>
          </cell>
          <cell r="J916">
            <v>2.6449920421258797E-2</v>
          </cell>
        </row>
        <row r="917">
          <cell r="A917" t="str">
            <v>RHNM-SHPLTBR</v>
          </cell>
          <cell r="B917" t="str">
            <v>VAR_ncap</v>
          </cell>
          <cell r="C917" t="str">
            <v>-</v>
          </cell>
          <cell r="E917">
            <v>6.4162421923676504E-3</v>
          </cell>
          <cell r="F917">
            <v>8.8427436603091096E-5</v>
          </cell>
          <cell r="G917">
            <v>2.9110128528431201E-4</v>
          </cell>
          <cell r="H917">
            <v>1.8648376070553099E-4</v>
          </cell>
          <cell r="I917">
            <v>2.1952438507872899E-3</v>
          </cell>
          <cell r="J917">
            <v>9.3022881632073796E-4</v>
          </cell>
        </row>
        <row r="918">
          <cell r="A918" t="str">
            <v>RHNM-SHPLTBR</v>
          </cell>
          <cell r="B918" t="str">
            <v>VAR_cap</v>
          </cell>
          <cell r="C918" t="str">
            <v>-</v>
          </cell>
          <cell r="E918">
            <v>6.4162421923676504E-3</v>
          </cell>
          <cell r="F918">
            <v>6.4953894939356414E-3</v>
          </cell>
          <cell r="G918">
            <v>6.7665624532646839E-3</v>
          </cell>
          <cell r="H918">
            <v>3.8199792034794675E-3</v>
          </cell>
          <cell r="I918">
            <v>2.5840965797475192E-3</v>
          </cell>
          <cell r="J918">
            <v>2.5974731631594711E-3</v>
          </cell>
        </row>
        <row r="919">
          <cell r="A919" t="str">
            <v>D-RHES_NKEV_GAS_ELC_CHP</v>
          </cell>
          <cell r="B919" t="str">
            <v>VAR_fout</v>
          </cell>
          <cell r="C919" t="str">
            <v>RHES_ELC</v>
          </cell>
          <cell r="D919">
            <v>2.3759949980461426E-2</v>
          </cell>
          <cell r="E919">
            <v>5.4906705740114829E-3</v>
          </cell>
          <cell r="F919">
            <v>7.5682971625022121E-3</v>
          </cell>
        </row>
        <row r="920">
          <cell r="A920" t="str">
            <v>D-RHES_NKEV_GAS_ELC_CHP</v>
          </cell>
          <cell r="B920" t="str">
            <v>VAR_fout</v>
          </cell>
          <cell r="C920" t="str">
            <v>ELC5</v>
          </cell>
          <cell r="D920">
            <v>1.5895361152803697E-2</v>
          </cell>
          <cell r="E920">
            <v>3.6823387998899614E-3</v>
          </cell>
          <cell r="F920">
            <v>5.3524807419731944E-3</v>
          </cell>
        </row>
        <row r="921">
          <cell r="A921" t="str">
            <v>D-RHES_NKEV_GAS_ELC_CHP</v>
          </cell>
          <cell r="B921" t="str">
            <v>VAR_fin</v>
          </cell>
          <cell r="C921" t="str">
            <v>RHES_NKEV_GAS_ELC_CHP</v>
          </cell>
          <cell r="D921">
            <v>3.9655311133265141E-2</v>
          </cell>
          <cell r="E921">
            <v>9.1730093739014404E-3</v>
          </cell>
          <cell r="F921">
            <v>1.2781126079905466E-2</v>
          </cell>
        </row>
        <row r="922">
          <cell r="A922" t="str">
            <v>SCOM-SHSTG-SOL</v>
          </cell>
          <cell r="B922" t="str">
            <v>VAR_fout</v>
          </cell>
          <cell r="C922" t="str">
            <v>SCOM-SHASOL</v>
          </cell>
          <cell r="D922">
            <v>6.722707933787944E-4</v>
          </cell>
          <cell r="E922">
            <v>7.2219074596873898E-4</v>
          </cell>
          <cell r="F922">
            <v>4.7032726012596725E-4</v>
          </cell>
          <cell r="G922">
            <v>4.6847744511683566E-4</v>
          </cell>
          <cell r="H922">
            <v>3.9619040386267262E-4</v>
          </cell>
          <cell r="I922">
            <v>3.9984694243750692E-4</v>
          </cell>
          <cell r="J922">
            <v>3.1456072151446251E-4</v>
          </cell>
        </row>
        <row r="923">
          <cell r="A923" t="str">
            <v>SCOM-SHSTG-SOL</v>
          </cell>
          <cell r="B923" t="str">
            <v>VAR_fin</v>
          </cell>
          <cell r="C923" t="str">
            <v>SCOM-SHASOL</v>
          </cell>
          <cell r="D923">
            <v>6.7645309979169502E-4</v>
          </cell>
          <cell r="E923">
            <v>6.8400446920646913E-4</v>
          </cell>
          <cell r="F923">
            <v>3.5278418194949272E-4</v>
          </cell>
          <cell r="G923">
            <v>3.7860962474617501E-4</v>
          </cell>
          <cell r="H923">
            <v>3.1738224800121565E-4</v>
          </cell>
          <cell r="I923">
            <v>3.3759853972085291E-4</v>
          </cell>
          <cell r="J923">
            <v>1.8301604873487623E-4</v>
          </cell>
        </row>
        <row r="924">
          <cell r="A924" t="str">
            <v>SCOM-SHSTG-SOL</v>
          </cell>
          <cell r="B924" t="str">
            <v>VAR_ncap</v>
          </cell>
          <cell r="C924" t="str">
            <v>-</v>
          </cell>
          <cell r="D924">
            <v>2.3621917510509599E-2</v>
          </cell>
          <cell r="E924">
            <v>7.0947482002359897E-5</v>
          </cell>
          <cell r="F924">
            <v>1.5307732968118001E-5</v>
          </cell>
          <cell r="G924">
            <v>2.4924974330326801E-5</v>
          </cell>
          <cell r="H924">
            <v>1.6853805643075901E-2</v>
          </cell>
          <cell r="I924">
            <v>1.0131276172047199E-2</v>
          </cell>
          <cell r="J924">
            <v>1.53087661543524E-2</v>
          </cell>
        </row>
        <row r="925">
          <cell r="A925" t="str">
            <v>SCOM-SHSTG-SOL</v>
          </cell>
          <cell r="B925" t="str">
            <v>VAR_cap</v>
          </cell>
          <cell r="C925" t="str">
            <v>-</v>
          </cell>
          <cell r="D925">
            <v>2.3621917510509599E-2</v>
          </cell>
          <cell r="E925">
            <v>2.36928649925119E-2</v>
          </cell>
          <cell r="F925">
            <v>2.3708172725480099E-2</v>
          </cell>
          <cell r="G925">
            <v>2.3733097699810399E-2</v>
          </cell>
          <cell r="H925">
            <v>2.3056366384714099E-2</v>
          </cell>
          <cell r="I925">
            <v>2.7004816566463301E-2</v>
          </cell>
          <cell r="J925">
            <v>2.97904425538526E-2</v>
          </cell>
        </row>
        <row r="926">
          <cell r="A926" t="str">
            <v>RHNM-SHELCBRA</v>
          </cell>
          <cell r="B926" t="str">
            <v>VAR_fout</v>
          </cell>
          <cell r="C926" t="str">
            <v>RHNM-SHELCB</v>
          </cell>
          <cell r="E926">
            <v>0.15451446496164178</v>
          </cell>
          <cell r="F926">
            <v>8.7029925869366582E-4</v>
          </cell>
          <cell r="G926">
            <v>1.7260051160793795E-3</v>
          </cell>
          <cell r="H926">
            <v>1.8233377174018384E-3</v>
          </cell>
          <cell r="I926">
            <v>2.0482033083168943E-3</v>
          </cell>
          <cell r="J926">
            <v>1.9719841594092618E-3</v>
          </cell>
        </row>
        <row r="927">
          <cell r="A927" t="str">
            <v>RHNM-SHELCBRA</v>
          </cell>
          <cell r="B927" t="str">
            <v>VAR_fin</v>
          </cell>
          <cell r="C927" t="str">
            <v>RHNM-SHAELCB</v>
          </cell>
          <cell r="E927">
            <v>0.15451446496164178</v>
          </cell>
          <cell r="F927">
            <v>8.7029925869366582E-4</v>
          </cell>
          <cell r="G927">
            <v>1.7260051160793795E-3</v>
          </cell>
          <cell r="H927">
            <v>1.8233377174018384E-3</v>
          </cell>
          <cell r="I927">
            <v>2.0482033083168943E-3</v>
          </cell>
          <cell r="J927">
            <v>1.9719841594092618E-3</v>
          </cell>
        </row>
        <row r="928">
          <cell r="A928" t="str">
            <v>RHNM-SHELCBRA</v>
          </cell>
          <cell r="B928" t="str">
            <v>VAR_ncap</v>
          </cell>
          <cell r="C928" t="str">
            <v>-</v>
          </cell>
          <cell r="E928">
            <v>1.8020079448868701E-2</v>
          </cell>
          <cell r="H928">
            <v>1.4310978155125701E-2</v>
          </cell>
        </row>
        <row r="929">
          <cell r="A929" t="str">
            <v>RHNM-SHELCBRA</v>
          </cell>
          <cell r="B929" t="str">
            <v>VAR_cap</v>
          </cell>
          <cell r="C929" t="str">
            <v>-</v>
          </cell>
          <cell r="E929">
            <v>1.8020079448868701E-2</v>
          </cell>
          <cell r="F929">
            <v>1.799866574835219E-2</v>
          </cell>
          <cell r="G929">
            <v>1.794436168036246E-2</v>
          </cell>
          <cell r="H929">
            <v>2.238576187014343E-2</v>
          </cell>
          <cell r="I929">
            <v>1.327835598390205E-2</v>
          </cell>
          <cell r="J929">
            <v>5.6038208829917646E-3</v>
          </cell>
        </row>
        <row r="930">
          <cell r="A930" t="str">
            <v>RHNM-SHSTG-SOL</v>
          </cell>
          <cell r="B930" t="str">
            <v>VAR_fout</v>
          </cell>
          <cell r="C930" t="str">
            <v>AUX_RHNM-SHSTG-SOL_OUT</v>
          </cell>
          <cell r="E930">
            <v>2.029063247733393E-3</v>
          </cell>
          <cell r="F930">
            <v>2.8152867047916163E-4</v>
          </cell>
          <cell r="G930">
            <v>1.5727294432864254E-4</v>
          </cell>
          <cell r="H930">
            <v>1.8224081461511903E-4</v>
          </cell>
          <cell r="I930">
            <v>7.6723323154054545E-5</v>
          </cell>
          <cell r="J930">
            <v>8.480686199521719E-5</v>
          </cell>
        </row>
        <row r="931">
          <cell r="A931" t="str">
            <v>RHNM-SHSTG-SOL</v>
          </cell>
          <cell r="B931" t="str">
            <v>VAR_fout</v>
          </cell>
          <cell r="C931" t="str">
            <v>RHNM-SHASOL</v>
          </cell>
          <cell r="E931">
            <v>2.0270362115218702E-3</v>
          </cell>
          <cell r="F931">
            <v>2.8124742305610532E-4</v>
          </cell>
          <cell r="G931">
            <v>1.5711582850014237E-4</v>
          </cell>
          <cell r="H931">
            <v>1.8205875585925984E-4</v>
          </cell>
          <cell r="I931">
            <v>7.6646676477576956E-5</v>
          </cell>
          <cell r="J931">
            <v>8.4722139855361876E-5</v>
          </cell>
        </row>
        <row r="932">
          <cell r="A932" t="str">
            <v>RHNM-SHSTG-SOL</v>
          </cell>
          <cell r="B932" t="str">
            <v>VAR_fin</v>
          </cell>
          <cell r="C932" t="str">
            <v>RHNM-SHASOL</v>
          </cell>
          <cell r="E932">
            <v>1.4931556926331133E-3</v>
          </cell>
          <cell r="F932">
            <v>5.7130345559283618E-5</v>
          </cell>
          <cell r="G932">
            <v>6.755369196692824E-6</v>
          </cell>
          <cell r="I932">
            <v>1.991829435571961E-6</v>
          </cell>
          <cell r="J932">
            <v>3.8562302564255749E-5</v>
          </cell>
        </row>
        <row r="933">
          <cell r="A933" t="str">
            <v>RHNM-SHSTG-SOL</v>
          </cell>
          <cell r="B933" t="str">
            <v>VAR_ncap</v>
          </cell>
          <cell r="C933" t="str">
            <v>-</v>
          </cell>
          <cell r="D933">
            <v>3.82304880364443E-4</v>
          </cell>
          <cell r="E933">
            <v>2.3731577742881001E-4</v>
          </cell>
          <cell r="F933">
            <v>5.76730633805024E-4</v>
          </cell>
          <cell r="G933">
            <v>5.0761005884084997E-4</v>
          </cell>
          <cell r="H933">
            <v>9.3091492342193497E-5</v>
          </cell>
          <cell r="I933">
            <v>2.9875182560542299E-4</v>
          </cell>
          <cell r="J933">
            <v>3.1293387611839901E-4</v>
          </cell>
        </row>
        <row r="934">
          <cell r="A934" t="str">
            <v>RHNM-SHSTG-SOL</v>
          </cell>
          <cell r="B934" t="str">
            <v>VAR_cap</v>
          </cell>
          <cell r="C934" t="str">
            <v>-</v>
          </cell>
          <cell r="D934">
            <v>3.82304880364443E-4</v>
          </cell>
          <cell r="E934">
            <v>6.1962065779325301E-4</v>
          </cell>
          <cell r="F934">
            <v>1.19635129159828E-3</v>
          </cell>
          <cell r="G934">
            <v>1.7039613504391299E-3</v>
          </cell>
          <cell r="H934">
            <v>1.3981643028293401E-3</v>
          </cell>
          <cell r="I934">
            <v>8.4068567784259898E-4</v>
          </cell>
          <cell r="J934">
            <v>5.6912529462565403E-4</v>
          </cell>
        </row>
        <row r="935">
          <cell r="A935" t="str">
            <v>RHNS-SHELCHP</v>
          </cell>
          <cell r="B935" t="str">
            <v>VAR_fout</v>
          </cell>
          <cell r="C935" t="str">
            <v>RHNS-SHAELCH</v>
          </cell>
          <cell r="E935">
            <v>0.15145341341149907</v>
          </cell>
          <cell r="F935">
            <v>1.0974309432844349</v>
          </cell>
          <cell r="G935">
            <v>1.708005803127822</v>
          </cell>
          <cell r="H935">
            <v>2.216797975596863</v>
          </cell>
          <cell r="I935">
            <v>2.631601942079679</v>
          </cell>
          <cell r="J935">
            <v>3.2507181976316599</v>
          </cell>
        </row>
        <row r="936">
          <cell r="A936" t="str">
            <v>RHNS-SHELCHP</v>
          </cell>
          <cell r="B936" t="str">
            <v>VAR_fin</v>
          </cell>
          <cell r="C936" t="str">
            <v>RHNS_ELC</v>
          </cell>
          <cell r="E936">
            <v>4.655330330271492E-2</v>
          </cell>
          <cell r="F936">
            <v>0.32457299734394485</v>
          </cell>
          <cell r="G936">
            <v>0.47916889397149476</v>
          </cell>
          <cell r="H936">
            <v>0.59682921658971799</v>
          </cell>
          <cell r="I936">
            <v>0.6849113563632776</v>
          </cell>
          <cell r="J936">
            <v>0.77778805691266328</v>
          </cell>
        </row>
        <row r="937">
          <cell r="A937" t="str">
            <v>RHNS-SHELCHP</v>
          </cell>
          <cell r="B937" t="str">
            <v>VAR_fin</v>
          </cell>
          <cell r="C937" t="str">
            <v>RHNSELCHPC</v>
          </cell>
          <cell r="E937">
            <v>0.15145341341149907</v>
          </cell>
          <cell r="F937">
            <v>1.0974309432844349</v>
          </cell>
          <cell r="G937">
            <v>1.708005803127822</v>
          </cell>
          <cell r="H937">
            <v>2.216797975596863</v>
          </cell>
          <cell r="I937">
            <v>2.631601942079679</v>
          </cell>
          <cell r="J937">
            <v>3.2507181976316599</v>
          </cell>
        </row>
        <row r="938">
          <cell r="A938" t="str">
            <v>RHNS-SHELCHP</v>
          </cell>
          <cell r="B938" t="str">
            <v>VAR_ncap</v>
          </cell>
          <cell r="C938" t="str">
            <v>-</v>
          </cell>
          <cell r="E938">
            <v>1.1804653425239E-2</v>
          </cell>
          <cell r="F938">
            <v>6.9684955877527904E-2</v>
          </cell>
          <cell r="G938">
            <v>4.56985758801427E-2</v>
          </cell>
          <cell r="H938">
            <v>4.18282430151906E-2</v>
          </cell>
          <cell r="I938">
            <v>0.107818765599813</v>
          </cell>
          <cell r="J938">
            <v>0.14135069514349899</v>
          </cell>
        </row>
        <row r="939">
          <cell r="A939" t="str">
            <v>RHNS-SHELCHP</v>
          </cell>
          <cell r="B939" t="str">
            <v>VAR_cap</v>
          </cell>
          <cell r="C939" t="str">
            <v>-</v>
          </cell>
          <cell r="E939">
            <v>1.1804653425239E-2</v>
          </cell>
          <cell r="F939">
            <v>8.1486775624648108E-2</v>
          </cell>
          <cell r="G939">
            <v>0.12717679027301376</v>
          </cell>
          <cell r="H939">
            <v>0.16324516044643039</v>
          </cell>
          <cell r="I939">
            <v>0.19319365757412282</v>
          </cell>
          <cell r="J939">
            <v>0.23728847887123997</v>
          </cell>
        </row>
        <row r="940">
          <cell r="A940" t="str">
            <v>SCOM-SHBIOBR</v>
          </cell>
          <cell r="B940" t="str">
            <v>VAR_fout</v>
          </cell>
          <cell r="C940" t="str">
            <v>SCOM-SHBIO</v>
          </cell>
          <cell r="D940">
            <v>1.2231576316855999</v>
          </cell>
          <cell r="E940">
            <v>1.3408440109024429</v>
          </cell>
        </row>
        <row r="941">
          <cell r="A941" t="str">
            <v>SCOM-SHBIOBR</v>
          </cell>
          <cell r="B941" t="str">
            <v>VAR_fin</v>
          </cell>
          <cell r="C941" t="str">
            <v>SBIO</v>
          </cell>
          <cell r="D941">
            <v>1.402382058800276</v>
          </cell>
          <cell r="E941">
            <v>1.5373125554946594</v>
          </cell>
        </row>
        <row r="942">
          <cell r="A942" t="str">
            <v>SCOM-SHBIOBR</v>
          </cell>
          <cell r="B942" t="str">
            <v>VAR_ncap</v>
          </cell>
          <cell r="C942" t="str">
            <v>-</v>
          </cell>
          <cell r="D942">
            <v>1.6782718268349901E-5</v>
          </cell>
          <cell r="E942">
            <v>2.8483782863931501E-4</v>
          </cell>
          <cell r="F942">
            <v>1.3232688374630299E-5</v>
          </cell>
          <cell r="G942">
            <v>2.1011286694650001E-5</v>
          </cell>
          <cell r="H942">
            <v>1.0579736416093299E-3</v>
          </cell>
          <cell r="I942">
            <v>2.05764069597386E-3</v>
          </cell>
          <cell r="J942">
            <v>6.8718873319984397E-4</v>
          </cell>
        </row>
        <row r="943">
          <cell r="A943" t="str">
            <v>SCOM-SHBIOBR</v>
          </cell>
          <cell r="B943" t="str">
            <v>VAR_cap</v>
          </cell>
          <cell r="C943" t="str">
            <v>-</v>
          </cell>
          <cell r="D943">
            <v>0.10535770818694436</v>
          </cell>
          <cell r="E943">
            <v>0.10563169814739681</v>
          </cell>
          <cell r="F943">
            <v>0.10493480091104547</v>
          </cell>
          <cell r="G943">
            <v>0.10472441661210848</v>
          </cell>
          <cell r="H943">
            <v>2.8226888204201064E-2</v>
          </cell>
          <cell r="I943">
            <v>3.0916485339507888E-3</v>
          </cell>
          <cell r="J943">
            <v>2.6040217745173272E-3</v>
          </cell>
        </row>
        <row r="944">
          <cell r="A944" t="str">
            <v>RHES-SHDEM</v>
          </cell>
          <cell r="B944" t="str">
            <v>VAR_fout</v>
          </cell>
          <cell r="C944" t="str">
            <v>RHES-SHD</v>
          </cell>
          <cell r="D944">
            <v>62.024837503894084</v>
          </cell>
          <cell r="E944">
            <v>67.815394581973521</v>
          </cell>
          <cell r="F944">
            <v>56.576361530436877</v>
          </cell>
          <cell r="G944">
            <v>54.672253708648633</v>
          </cell>
          <cell r="H944">
            <v>53.412532282813032</v>
          </cell>
          <cell r="I944">
            <v>52.40788546477102</v>
          </cell>
          <cell r="J944">
            <v>51.191661711690465</v>
          </cell>
        </row>
        <row r="945">
          <cell r="A945" t="str">
            <v>RHES-SHDEM</v>
          </cell>
          <cell r="B945" t="str">
            <v>VAR_fin</v>
          </cell>
          <cell r="C945" t="str">
            <v>RHES-SHPLT</v>
          </cell>
          <cell r="D945">
            <v>1.2887785601475841</v>
          </cell>
          <cell r="E945">
            <v>1.4860508337317331</v>
          </cell>
          <cell r="F945">
            <v>3.147276531194567E-2</v>
          </cell>
          <cell r="G945">
            <v>4.0057113542296179E-2</v>
          </cell>
          <cell r="H945">
            <v>4.4285040989722017E-2</v>
          </cell>
          <cell r="I945">
            <v>4.9825337491596892E-2</v>
          </cell>
          <cell r="J945">
            <v>4.475984906270157E-2</v>
          </cell>
        </row>
        <row r="946">
          <cell r="A946" t="str">
            <v>RHES-SHDEM</v>
          </cell>
          <cell r="B946" t="str">
            <v>VAR_fin</v>
          </cell>
          <cell r="C946" t="str">
            <v>RHES-SHLTHC-NGA</v>
          </cell>
          <cell r="D946">
            <v>4.8773733379440139E-2</v>
          </cell>
          <cell r="E946">
            <v>2.065269009124808E-2</v>
          </cell>
          <cell r="F946">
            <v>2.1804215509326921E-6</v>
          </cell>
          <cell r="G946">
            <v>5.9758700988756285E-5</v>
          </cell>
          <cell r="H946">
            <v>1.615333307551575E-6</v>
          </cell>
          <cell r="J946">
            <v>3.8903374459688243E-5</v>
          </cell>
        </row>
        <row r="947">
          <cell r="A947" t="str">
            <v>RHES-SHDEM</v>
          </cell>
          <cell r="B947" t="str">
            <v>VAR_fin</v>
          </cell>
          <cell r="C947" t="str">
            <v>RHES-SHSOL</v>
          </cell>
          <cell r="D947">
            <v>0.373355184120154</v>
          </cell>
          <cell r="E947">
            <v>0.43488422581921832</v>
          </cell>
          <cell r="F947">
            <v>2.1999683743722236E-2</v>
          </cell>
          <cell r="G947">
            <v>2.3233072847839053E-2</v>
          </cell>
          <cell r="H947">
            <v>2.2866344280858569E-2</v>
          </cell>
          <cell r="I947">
            <v>2.2162640269491201E-2</v>
          </cell>
          <cell r="J947">
            <v>2.0010138849730342E-2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RHES-SHLTHC-WOD</v>
          </cell>
          <cell r="D948">
            <v>2.2575492552246589E-3</v>
          </cell>
          <cell r="E948">
            <v>4.9565023672727942E-4</v>
          </cell>
          <cell r="F948">
            <v>4.926077247785499E-5</v>
          </cell>
          <cell r="G948">
            <v>5.6644190937219838E-6</v>
          </cell>
          <cell r="H948">
            <v>1.5857003509838651E-5</v>
          </cell>
          <cell r="I948">
            <v>1.1811681600314614E-5</v>
          </cell>
          <cell r="J948">
            <v>1.8347260260845118E-5</v>
          </cell>
        </row>
        <row r="949">
          <cell r="A949" t="str">
            <v>RHES-SHDEM</v>
          </cell>
          <cell r="B949" t="str">
            <v>VAR_fin</v>
          </cell>
          <cell r="C949" t="str">
            <v>RHES-SHNGA</v>
          </cell>
          <cell r="D949">
            <v>17.556030053303793</v>
          </cell>
          <cell r="E949">
            <v>19.458599391871058</v>
          </cell>
          <cell r="F949">
            <v>10.463861159152954</v>
          </cell>
          <cell r="G949">
            <v>7.3661866308375075</v>
          </cell>
          <cell r="H949">
            <v>4.8593958851310441</v>
          </cell>
          <cell r="I949">
            <v>2.3053587122696695</v>
          </cell>
          <cell r="J949">
            <v>0.94702357164115081</v>
          </cell>
        </row>
        <row r="950">
          <cell r="A950" t="str">
            <v>RHES-SHDEM</v>
          </cell>
          <cell r="B950" t="str">
            <v>VAR_fin</v>
          </cell>
          <cell r="C950" t="str">
            <v>RHES-SHNGAH</v>
          </cell>
          <cell r="D950">
            <v>1.6898716208873764E-3</v>
          </cell>
          <cell r="E950">
            <v>4.7766955623156071E-4</v>
          </cell>
          <cell r="F950">
            <v>2.2602262678704408</v>
          </cell>
          <cell r="G950">
            <v>5.4978173570883246</v>
          </cell>
          <cell r="H950">
            <v>6.5771656645432408</v>
          </cell>
          <cell r="I950">
            <v>7.6659073893332588</v>
          </cell>
          <cell r="J950">
            <v>7.0921283017340544</v>
          </cell>
        </row>
        <row r="951">
          <cell r="A951" t="str">
            <v>RHES-SHDEM</v>
          </cell>
          <cell r="B951" t="str">
            <v>VAR_fin</v>
          </cell>
          <cell r="C951" t="str">
            <v>RHES-SHCOA</v>
          </cell>
          <cell r="D951">
            <v>7.9298018950777843E-2</v>
          </cell>
          <cell r="E951">
            <v>7.215304150867996E-2</v>
          </cell>
          <cell r="F951">
            <v>2.1754990123534716E-2</v>
          </cell>
          <cell r="G951">
            <v>3.9247945532721148E-4</v>
          </cell>
          <cell r="H951">
            <v>6.3744192458661046E-5</v>
          </cell>
          <cell r="J951">
            <v>1.6326866375591924E-5</v>
          </cell>
        </row>
        <row r="952">
          <cell r="A952" t="str">
            <v>RHES-SHDEM</v>
          </cell>
          <cell r="B952" t="str">
            <v>VAR_fin</v>
          </cell>
          <cell r="C952" t="str">
            <v>RHES-SHLFO</v>
          </cell>
          <cell r="D952">
            <v>21.663032193435996</v>
          </cell>
          <cell r="E952">
            <v>19.945107349591421</v>
          </cell>
          <cell r="F952">
            <v>14.273200979183786</v>
          </cell>
          <cell r="G952">
            <v>6.9400939182515966</v>
          </cell>
          <cell r="H952">
            <v>4.1055815459314919</v>
          </cell>
          <cell r="I952">
            <v>1.3453028760339594</v>
          </cell>
          <cell r="J952">
            <v>0.13306286914839463</v>
          </cell>
        </row>
        <row r="953">
          <cell r="A953" t="str">
            <v>RHES-SHDEM</v>
          </cell>
          <cell r="B953" t="str">
            <v>VAR_fin</v>
          </cell>
          <cell r="C953" t="str">
            <v>RHES-SHCON</v>
          </cell>
          <cell r="D953">
            <v>0.18029593259256818</v>
          </cell>
          <cell r="E953">
            <v>3.1066429120945207</v>
          </cell>
          <cell r="F953">
            <v>2.2637082981321979</v>
          </cell>
          <cell r="G953">
            <v>4.6077106534293302</v>
          </cell>
          <cell r="H953">
            <v>6.7905663518498587</v>
          </cell>
          <cell r="I953">
            <v>8.8186785945937665</v>
          </cell>
          <cell r="J953">
            <v>13.180520387533457</v>
          </cell>
        </row>
        <row r="954">
          <cell r="A954" t="str">
            <v>RHES-SHDEM</v>
          </cell>
          <cell r="B954" t="str">
            <v>VAR_fin</v>
          </cell>
          <cell r="C954" t="str">
            <v>RHES-SHWOD</v>
          </cell>
          <cell r="D954">
            <v>4.375504566646037</v>
          </cell>
          <cell r="E954">
            <v>5.0333344867412899</v>
          </cell>
          <cell r="F954">
            <v>5.2095425967991105</v>
          </cell>
          <cell r="G954">
            <v>4.3637712078367645</v>
          </cell>
          <cell r="H954">
            <v>3.4806716887902436</v>
          </cell>
          <cell r="I954">
            <v>2.7003040210696629</v>
          </cell>
          <cell r="J954">
            <v>1.4271648399668899</v>
          </cell>
        </row>
        <row r="955">
          <cell r="A955" t="str">
            <v>RHES-SHDEM</v>
          </cell>
          <cell r="B955" t="str">
            <v>VAR_fin</v>
          </cell>
          <cell r="C955" t="str">
            <v>RHES-SHLTHD</v>
          </cell>
          <cell r="D955">
            <v>3.0420298529435068</v>
          </cell>
          <cell r="E955">
            <v>3.502825556201691</v>
          </cell>
          <cell r="F955">
            <v>1.4313410425807944</v>
          </cell>
          <cell r="G955">
            <v>1.9305971216545259</v>
          </cell>
          <cell r="H955">
            <v>2.0767267556030338</v>
          </cell>
          <cell r="I955">
            <v>2.2429827214177971</v>
          </cell>
          <cell r="J955">
            <v>2.1429187122561215</v>
          </cell>
        </row>
        <row r="956">
          <cell r="A956" t="str">
            <v>RHES-SHDEM</v>
          </cell>
          <cell r="B956" t="str">
            <v>VAR_fin</v>
          </cell>
          <cell r="C956" t="str">
            <v>RHES-SHELCB</v>
          </cell>
          <cell r="D956">
            <v>4.2684632516813128</v>
          </cell>
          <cell r="E956">
            <v>4.4873668812755572</v>
          </cell>
          <cell r="F956">
            <v>0.7867466877715189</v>
          </cell>
          <cell r="G956">
            <v>0.18613367828858052</v>
          </cell>
          <cell r="H956">
            <v>1.3761404573380613E-2</v>
          </cell>
          <cell r="I956">
            <v>3.5991343728371283E-3</v>
          </cell>
          <cell r="J956">
            <v>2.1152903682714161E-3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RHES-SHELCH</v>
          </cell>
          <cell r="D957">
            <v>9.1444372718206797</v>
          </cell>
          <cell r="E957">
            <v>10.274903229318932</v>
          </cell>
          <cell r="F957">
            <v>19.821543983729867</v>
          </cell>
          <cell r="G957">
            <v>23.722638313730609</v>
          </cell>
          <cell r="H957">
            <v>25.449139863365964</v>
          </cell>
          <cell r="I957">
            <v>27.260023070967794</v>
          </cell>
          <cell r="J957">
            <v>26.20699826291392</v>
          </cell>
        </row>
        <row r="958">
          <cell r="A958" t="str">
            <v>RHES-SHDEM</v>
          </cell>
          <cell r="B958" t="str">
            <v>VAR_fin</v>
          </cell>
          <cell r="C958" t="str">
            <v>RHES-SHNST</v>
          </cell>
          <cell r="D958">
            <v>6.760177852537329E-3</v>
          </cell>
          <cell r="E958">
            <v>5.6371811841073852E-4</v>
          </cell>
          <cell r="F958">
            <v>3.3099608998574581E-5</v>
          </cell>
          <cell r="G958">
            <v>3.8605494388183618E-5</v>
          </cell>
          <cell r="H958">
            <v>7.1225950841371005E-6</v>
          </cell>
          <cell r="I958">
            <v>6.497520776426332E-5</v>
          </cell>
          <cell r="J958">
            <v>7.7951322589263492E-6</v>
          </cell>
        </row>
        <row r="959">
          <cell r="A959" t="str">
            <v>D-RHEM_LTH_CHPNGA</v>
          </cell>
          <cell r="B959" t="str">
            <v>VAR_fout</v>
          </cell>
          <cell r="C959" t="str">
            <v>RHSA_LTH</v>
          </cell>
          <cell r="D959">
            <v>7.003137150738587E-3</v>
          </cell>
          <cell r="E959">
            <v>2.0057228323624134E-4</v>
          </cell>
          <cell r="F959">
            <v>2.4124811675099143E-2</v>
          </cell>
          <cell r="G959">
            <v>3.1470221894465406E-4</v>
          </cell>
          <cell r="H959">
            <v>1.6704763185280516E-4</v>
          </cell>
          <cell r="I959">
            <v>3.6018278746530983E-4</v>
          </cell>
          <cell r="J959">
            <v>2.937711120210029E-4</v>
          </cell>
        </row>
        <row r="960">
          <cell r="A960" t="str">
            <v>D-RHEM_LTH_CHPNGA</v>
          </cell>
          <cell r="B960" t="str">
            <v>VAR_fout</v>
          </cell>
          <cell r="C960" t="str">
            <v>RHEM_LTH_CHPNGA_ON</v>
          </cell>
          <cell r="D960">
            <v>6.589795149137527E-2</v>
          </cell>
          <cell r="E960">
            <v>2.3620234080541945E-2</v>
          </cell>
          <cell r="F960">
            <v>1.999894059116716E-2</v>
          </cell>
          <cell r="G960">
            <v>1.1547379233059459E-4</v>
          </cell>
          <cell r="H960">
            <v>2.1236200541927582E-4</v>
          </cell>
          <cell r="I960">
            <v>8.4181842392626086E-5</v>
          </cell>
          <cell r="J960">
            <v>4.3382019983541174E-5</v>
          </cell>
        </row>
        <row r="961">
          <cell r="A961" t="str">
            <v>D-RHEM_LTH_CHPNGA</v>
          </cell>
          <cell r="B961" t="str">
            <v>VAR_fout</v>
          </cell>
          <cell r="C961" t="str">
            <v>LTH</v>
          </cell>
          <cell r="E961">
            <v>4.6333552515364327E-6</v>
          </cell>
          <cell r="F961">
            <v>1.544456920981622E-5</v>
          </cell>
          <cell r="G961">
            <v>2.0960808638003559E-5</v>
          </cell>
          <cell r="H961">
            <v>3.4685907684648239E-5</v>
          </cell>
          <cell r="I961">
            <v>1.0667963292831433E-4</v>
          </cell>
          <cell r="J961">
            <v>1.2376978520709918E-4</v>
          </cell>
        </row>
        <row r="962">
          <cell r="A962" t="str">
            <v>D-RHEM_LTH_CHPNGA</v>
          </cell>
          <cell r="B962" t="str">
            <v>VAR_fin</v>
          </cell>
          <cell r="C962" t="str">
            <v>RHEM_LTH_CHPNGA</v>
          </cell>
          <cell r="D962">
            <v>7.2901088642113906E-2</v>
          </cell>
          <cell r="E962">
            <v>2.3825917519812743E-2</v>
          </cell>
          <cell r="F962">
            <v>4.4139196835476138E-2</v>
          </cell>
          <cell r="G962">
            <v>4.5113681991325208E-4</v>
          </cell>
          <cell r="H962">
            <v>4.1409554495672939E-4</v>
          </cell>
          <cell r="I962">
            <v>5.5104426278624989E-4</v>
          </cell>
          <cell r="J962">
            <v>4.609229172116435E-4</v>
          </cell>
        </row>
        <row r="963">
          <cell r="A963" t="str">
            <v>RHEM-SHLTHCHPNGA</v>
          </cell>
          <cell r="B963" t="str">
            <v>VAR_fout</v>
          </cell>
          <cell r="C963" t="str">
            <v>RHEM-SHLTHC-NGA</v>
          </cell>
          <cell r="D963">
            <v>5.0272206623977939E-2</v>
          </cell>
          <cell r="E963">
            <v>2.2721721122700426E-2</v>
          </cell>
        </row>
        <row r="964">
          <cell r="A964" t="str">
            <v>RHEM-SHLTHCHPNGA</v>
          </cell>
          <cell r="B964" t="str">
            <v>VAR_fin</v>
          </cell>
          <cell r="C964" t="str">
            <v>RHEM_LTH_CHPNGA_ON</v>
          </cell>
          <cell r="D964">
            <v>5.0780006690886746E-2</v>
          </cell>
          <cell r="E964">
            <v>2.2951233457273137E-2</v>
          </cell>
        </row>
        <row r="965">
          <cell r="A965" t="str">
            <v>RHEM-SHLTHCHPNGA</v>
          </cell>
          <cell r="B965" t="str">
            <v>VAR_fin</v>
          </cell>
          <cell r="C965" t="str">
            <v>RHEMLTHCHPC</v>
          </cell>
          <cell r="D965">
            <v>5.0272206623977939E-2</v>
          </cell>
          <cell r="E965">
            <v>2.2721721122700426E-2</v>
          </cell>
        </row>
        <row r="966">
          <cell r="A966" t="str">
            <v>RHEM-SHLTHCHPNGA</v>
          </cell>
          <cell r="B966" t="str">
            <v>VAR_ncap</v>
          </cell>
          <cell r="C966" t="str">
            <v>-</v>
          </cell>
          <cell r="D966">
            <v>1.25794447583526E-5</v>
          </cell>
          <cell r="E966">
            <v>1.5637043644400801E-3</v>
          </cell>
          <cell r="F966">
            <v>4.1364232438864E-3</v>
          </cell>
          <cell r="G966">
            <v>1.6821172682781999E-3</v>
          </cell>
          <cell r="H966">
            <v>1.8974483883877999E-3</v>
          </cell>
          <cell r="I966">
            <v>4.7270318716892401E-4</v>
          </cell>
          <cell r="J966">
            <v>3.1664346291530499E-7</v>
          </cell>
        </row>
        <row r="967">
          <cell r="A967" t="str">
            <v>RHEM-SHLTHCHPNGA</v>
          </cell>
          <cell r="B967" t="str">
            <v>VAR_cap</v>
          </cell>
          <cell r="C967" t="str">
            <v>-</v>
          </cell>
          <cell r="D967">
            <v>6.8107804433070827E-3</v>
          </cell>
          <cell r="E967">
            <v>2.6698066663869589E-3</v>
          </cell>
          <cell r="F967">
            <v>5.7597156942391795E-3</v>
          </cell>
          <cell r="G967">
            <v>3.6589097560204686E-3</v>
          </cell>
          <cell r="H967">
            <v>3.3826033571003602E-3</v>
          </cell>
          <cell r="I967">
            <v>1.0694934764109102E-3</v>
          </cell>
        </row>
        <row r="968">
          <cell r="A968" t="str">
            <v>D-RHES_SOLELC</v>
          </cell>
          <cell r="B968" t="str">
            <v>VAR_fout</v>
          </cell>
          <cell r="C968" t="str">
            <v>RHES_ELC</v>
          </cell>
          <cell r="D968">
            <v>2.0985072501498325</v>
          </cell>
          <cell r="E968">
            <v>3.3749633275664888</v>
          </cell>
          <cell r="F968">
            <v>4.0188582529897205</v>
          </cell>
          <cell r="G968">
            <v>4.3297329857710523</v>
          </cell>
          <cell r="H968">
            <v>4.5947142280893676</v>
          </cell>
          <cell r="I968">
            <v>4.8140539756231542</v>
          </cell>
          <cell r="J968">
            <v>5.3393574940074977</v>
          </cell>
        </row>
        <row r="969">
          <cell r="A969" t="str">
            <v>D-RHES_SOLELC</v>
          </cell>
          <cell r="B969" t="str">
            <v>VAR_fout</v>
          </cell>
          <cell r="C969" t="str">
            <v>ELC5</v>
          </cell>
          <cell r="D969">
            <v>3.6431838584829283E-2</v>
          </cell>
          <cell r="E969">
            <v>1.5758584551360033E-2</v>
          </cell>
          <cell r="F969">
            <v>1.7196825781397522E-2</v>
          </cell>
          <cell r="G969">
            <v>9.6503139748492055E-3</v>
          </cell>
          <cell r="H969">
            <v>1.8854500840277191E-2</v>
          </cell>
          <cell r="I969">
            <v>5.7136661339780216E-2</v>
          </cell>
          <cell r="J969">
            <v>6.4628389224425362E-2</v>
          </cell>
        </row>
        <row r="970">
          <cell r="A970" t="str">
            <v>D-RHES_SOLELC</v>
          </cell>
          <cell r="B970" t="str">
            <v>VAR_fin</v>
          </cell>
          <cell r="C970" t="str">
            <v>RHES_SOL_ELC</v>
          </cell>
          <cell r="D970">
            <v>2.1349390887346629</v>
          </cell>
          <cell r="E970">
            <v>3.3906692602685045</v>
          </cell>
          <cell r="F970">
            <v>4.0360550787711125</v>
          </cell>
          <cell r="G970">
            <v>4.3393832997459008</v>
          </cell>
          <cell r="H970">
            <v>4.6135687289296445</v>
          </cell>
          <cell r="I970">
            <v>4.8711906369629405</v>
          </cell>
          <cell r="J970">
            <v>5.4039858832319272</v>
          </cell>
        </row>
        <row r="971">
          <cell r="A971" t="str">
            <v>RHNM-SHCONBR1</v>
          </cell>
          <cell r="B971" t="str">
            <v>VAR_ncap</v>
          </cell>
          <cell r="C971" t="str">
            <v>-</v>
          </cell>
          <cell r="F971">
            <v>375</v>
          </cell>
          <cell r="G971">
            <v>4.7310676183725198</v>
          </cell>
          <cell r="H971">
            <v>4.3003918622550996</v>
          </cell>
        </row>
        <row r="972">
          <cell r="A972" t="str">
            <v>RHNM-SHCONBR1</v>
          </cell>
          <cell r="B972" t="str">
            <v>VAR_cap</v>
          </cell>
          <cell r="C972" t="str">
            <v>-</v>
          </cell>
          <cell r="F972">
            <v>375</v>
          </cell>
          <cell r="G972">
            <v>11.848368678838995</v>
          </cell>
          <cell r="H972">
            <v>10.947118884982956</v>
          </cell>
          <cell r="I972">
            <v>6.3311927241859962</v>
          </cell>
          <cell r="J972">
            <v>2.8355470014540174</v>
          </cell>
        </row>
        <row r="973">
          <cell r="A973" t="str">
            <v>D-DH2</v>
          </cell>
          <cell r="B973" t="str">
            <v>VAR_fout</v>
          </cell>
          <cell r="C973" t="str">
            <v>H2</v>
          </cell>
          <cell r="G973">
            <v>1.2990698181662011E-4</v>
          </cell>
          <cell r="H973">
            <v>8.9950832132922151E-4</v>
          </cell>
          <cell r="I973">
            <v>11.291573756062718</v>
          </cell>
          <cell r="J973">
            <v>11.947262196770296</v>
          </cell>
        </row>
        <row r="974">
          <cell r="A974" t="str">
            <v>D-DH2</v>
          </cell>
          <cell r="B974" t="str">
            <v>VAR_fin</v>
          </cell>
          <cell r="C974" t="str">
            <v>H2_E</v>
          </cell>
          <cell r="G974">
            <v>1.3121917355214154E-4</v>
          </cell>
          <cell r="H974">
            <v>9.0859426396891041E-4</v>
          </cell>
          <cell r="I974">
            <v>11.405630056629006</v>
          </cell>
          <cell r="J974">
            <v>12.067941612899292</v>
          </cell>
        </row>
        <row r="975">
          <cell r="A975" t="str">
            <v>D-DH2</v>
          </cell>
          <cell r="B975" t="str">
            <v>VAR_ncap</v>
          </cell>
          <cell r="C975" t="str">
            <v>-</v>
          </cell>
          <cell r="G975">
            <v>7.66403628444295E-4</v>
          </cell>
          <cell r="H975">
            <v>8.5367746458727605E-4</v>
          </cell>
          <cell r="I975">
            <v>1.5153450950415801</v>
          </cell>
          <cell r="J975">
            <v>8.7962150521047194E-2</v>
          </cell>
        </row>
        <row r="976">
          <cell r="A976" t="str">
            <v>D-DH2</v>
          </cell>
          <cell r="B976" t="str">
            <v>VAR_cap</v>
          </cell>
          <cell r="C976" t="str">
            <v>-</v>
          </cell>
          <cell r="G976">
            <v>7.66403628444295E-4</v>
          </cell>
          <cell r="H976">
            <v>1.6200810930315701E-3</v>
          </cell>
          <cell r="I976">
            <v>1.5169651761346099</v>
          </cell>
          <cell r="J976">
            <v>1.6049273266556501</v>
          </cell>
        </row>
        <row r="977">
          <cell r="A977" t="str">
            <v>ITOT-SWHHFOBR</v>
          </cell>
          <cell r="B977" t="str">
            <v>VAR_fout</v>
          </cell>
          <cell r="C977" t="str">
            <v>ITOT-SWH</v>
          </cell>
          <cell r="D977">
            <v>1.8459251245252504</v>
          </cell>
          <cell r="E977">
            <v>1.8457931733678312</v>
          </cell>
          <cell r="F977">
            <v>3.244276238856901E-2</v>
          </cell>
          <cell r="G977">
            <v>3.1390450357645489E-3</v>
          </cell>
          <cell r="H977">
            <v>4.3720862185581355E-2</v>
          </cell>
          <cell r="I977">
            <v>4.3085175579479209E-3</v>
          </cell>
        </row>
        <row r="978">
          <cell r="A978" t="str">
            <v>ITOT-SWHHFOBR</v>
          </cell>
          <cell r="B978" t="str">
            <v>VAR_fout</v>
          </cell>
          <cell r="C978" t="str">
            <v>CO2_I</v>
          </cell>
          <cell r="D978">
            <v>210.22182967416401</v>
          </cell>
          <cell r="E978">
            <v>209.30133914928601</v>
          </cell>
          <cell r="F978">
            <v>3.6551882270431699</v>
          </cell>
          <cell r="G978">
            <v>0.34991888201790899</v>
          </cell>
          <cell r="H978">
            <v>4.8226432279197997</v>
          </cell>
          <cell r="I978">
            <v>0.47032550340172202</v>
          </cell>
        </row>
        <row r="979">
          <cell r="A979" t="str">
            <v>ITOT-SWHHFOBR</v>
          </cell>
          <cell r="B979" t="str">
            <v>VAR_fin</v>
          </cell>
          <cell r="C979" t="str">
            <v>IHFO</v>
          </cell>
          <cell r="D979">
            <v>2.7301536321320046</v>
          </cell>
          <cell r="E979">
            <v>2.7181992097309959</v>
          </cell>
          <cell r="F979">
            <v>4.7469976974586547E-2</v>
          </cell>
          <cell r="G979">
            <v>4.5444010651676508E-3</v>
          </cell>
          <cell r="H979">
            <v>6.2631730232724711E-2</v>
          </cell>
          <cell r="I979">
            <v>6.1081234208015898E-3</v>
          </cell>
        </row>
        <row r="980">
          <cell r="A980" t="str">
            <v>ITOT-SWHHFOBR</v>
          </cell>
          <cell r="B980" t="str">
            <v>VAR_ncap</v>
          </cell>
          <cell r="C980" t="str">
            <v>-</v>
          </cell>
          <cell r="D980">
            <v>1.33925594243944E-2</v>
          </cell>
          <cell r="E980">
            <v>4.7356802545426001E-4</v>
          </cell>
          <cell r="F980">
            <v>2.5592586420375001E-4</v>
          </cell>
          <cell r="G980">
            <v>2.8089696296672799E-4</v>
          </cell>
          <cell r="H980">
            <v>3.9895138418329203E-3</v>
          </cell>
          <cell r="I980">
            <v>4.6875235681626199E-4</v>
          </cell>
          <cell r="J980">
            <v>4.4308452484250199E-5</v>
          </cell>
        </row>
        <row r="981">
          <cell r="A981" t="str">
            <v>ITOT-SWHHFOBR</v>
          </cell>
          <cell r="B981" t="str">
            <v>VAR_cap</v>
          </cell>
          <cell r="C981" t="str">
            <v>-</v>
          </cell>
          <cell r="D981">
            <v>0.11410955942439441</v>
          </cell>
          <cell r="E981">
            <v>0.11438740226748473</v>
          </cell>
          <cell r="F981">
            <v>3.0795694956704117E-3</v>
          </cell>
          <cell r="G981">
            <v>3.0204146214710126E-4</v>
          </cell>
          <cell r="H981">
            <v>4.0657601923268956E-3</v>
          </cell>
          <cell r="I981">
            <v>4.1462364748260944E-4</v>
          </cell>
          <cell r="J981">
            <v>-5.8651647282400264E-5</v>
          </cell>
        </row>
        <row r="982">
          <cell r="A982" t="str">
            <v>RHNM-SHCONBR2</v>
          </cell>
          <cell r="B982" t="str">
            <v>VAR_ncap</v>
          </cell>
          <cell r="C982" t="str">
            <v>-</v>
          </cell>
          <cell r="F982">
            <v>375</v>
          </cell>
          <cell r="G982">
            <v>4.73106761837278</v>
          </cell>
          <cell r="H982">
            <v>4.3003918622553901</v>
          </cell>
        </row>
        <row r="983">
          <cell r="A983" t="str">
            <v>RHNM-SHCONBR2</v>
          </cell>
          <cell r="B983" t="str">
            <v>VAR_cap</v>
          </cell>
          <cell r="C983" t="str">
            <v>-</v>
          </cell>
          <cell r="F983">
            <v>375</v>
          </cell>
          <cell r="G983">
            <v>11.848368678838028</v>
          </cell>
          <cell r="H983">
            <v>10.947118884980966</v>
          </cell>
          <cell r="I983">
            <v>6.3311927241839498</v>
          </cell>
          <cell r="J983">
            <v>2.8355470014540174</v>
          </cell>
        </row>
        <row r="984">
          <cell r="A984" t="str">
            <v>RHSA-WHSTG-ELCHP</v>
          </cell>
          <cell r="B984" t="str">
            <v>VAR_fout</v>
          </cell>
          <cell r="C984" t="str">
            <v>AUX_RHSA-WHSTG-ELCHP_OUT</v>
          </cell>
          <cell r="D984">
            <v>0.33303369912126585</v>
          </cell>
          <cell r="E984">
            <v>0.50260635963848788</v>
          </cell>
          <cell r="F984">
            <v>0.78293529649401605</v>
          </cell>
          <cell r="G984">
            <v>1.49755849733746</v>
          </cell>
          <cell r="H984">
            <v>1.5422347691197718</v>
          </cell>
          <cell r="I984">
            <v>1.6869041805665221</v>
          </cell>
          <cell r="J984">
            <v>2.119440048689246</v>
          </cell>
        </row>
        <row r="985">
          <cell r="A985" t="str">
            <v>RHSA-WHSTG-ELCHP</v>
          </cell>
          <cell r="B985" t="str">
            <v>VAR_fout</v>
          </cell>
          <cell r="C985" t="str">
            <v>RHSA-WHAELCH</v>
          </cell>
          <cell r="D985">
            <v>0.33270099812314269</v>
          </cell>
          <cell r="E985">
            <v>0.50210425538310466</v>
          </cell>
          <cell r="F985">
            <v>0.7821531433506651</v>
          </cell>
          <cell r="G985">
            <v>1.4960624349025573</v>
          </cell>
          <cell r="H985">
            <v>1.5406940750447276</v>
          </cell>
          <cell r="I985">
            <v>1.6852189616049149</v>
          </cell>
          <cell r="J985">
            <v>2.1173227259632839</v>
          </cell>
        </row>
        <row r="986">
          <cell r="A986" t="str">
            <v>RHSA-WHSTG-ELCHP</v>
          </cell>
          <cell r="B986" t="str">
            <v>VAR_fin</v>
          </cell>
          <cell r="C986" t="str">
            <v>RHSA-WHAELCH</v>
          </cell>
          <cell r="D986">
            <v>0.3330964079294127</v>
          </cell>
          <cell r="E986">
            <v>0.50218617403896049</v>
          </cell>
          <cell r="F986">
            <v>0.78216168980460621</v>
          </cell>
          <cell r="G986">
            <v>1.4961062013772939</v>
          </cell>
          <cell r="H986">
            <v>1.5407652424532419</v>
          </cell>
          <cell r="I986">
            <v>1.6853346342129996</v>
          </cell>
          <cell r="J986">
            <v>2.1173582122175314</v>
          </cell>
        </row>
        <row r="987">
          <cell r="A987" t="str">
            <v>RHSA-WHSTG-ELCHP</v>
          </cell>
          <cell r="B987" t="str">
            <v>VAR_ncap</v>
          </cell>
          <cell r="C987" t="str">
            <v>-</v>
          </cell>
          <cell r="D987">
            <v>6.6280080800076996E-2</v>
          </cell>
          <cell r="E987">
            <v>3.4955890285700902E-4</v>
          </cell>
          <cell r="F987">
            <v>1.89549915331645E-2</v>
          </cell>
          <cell r="G987">
            <v>4.1338184598133897E-2</v>
          </cell>
          <cell r="H987">
            <v>8.6094941245761794E-2</v>
          </cell>
          <cell r="I987">
            <v>8.5169646142057603E-2</v>
          </cell>
          <cell r="J987">
            <v>0.148149690877073</v>
          </cell>
        </row>
        <row r="988">
          <cell r="A988" t="str">
            <v>RHSA-WHSTG-ELCHP</v>
          </cell>
          <cell r="B988" t="str">
            <v>VAR_cap</v>
          </cell>
          <cell r="C988" t="str">
            <v>-</v>
          </cell>
          <cell r="D988">
            <v>6.6281320329480087E-2</v>
          </cell>
          <cell r="E988">
            <v>5.7988825119562382E-2</v>
          </cell>
          <cell r="F988">
            <v>7.6663259510851567E-2</v>
          </cell>
          <cell r="G988">
            <v>0.11755565392356014</v>
          </cell>
          <cell r="H988">
            <v>0.15787858129128685</v>
          </cell>
          <cell r="I988">
            <v>0.20150411050306885</v>
          </cell>
          <cell r="J988">
            <v>0.24544006464246707</v>
          </cell>
        </row>
        <row r="989">
          <cell r="A989" t="str">
            <v>RHNM-SHCONBR3</v>
          </cell>
          <cell r="B989" t="str">
            <v>VAR_ncap</v>
          </cell>
          <cell r="C989" t="str">
            <v>-</v>
          </cell>
          <cell r="F989">
            <v>375</v>
          </cell>
          <cell r="G989">
            <v>4.7310676183725198</v>
          </cell>
          <cell r="H989">
            <v>4.3003918622550996</v>
          </cell>
        </row>
        <row r="990">
          <cell r="A990" t="str">
            <v>RHNM-SHCONBR3</v>
          </cell>
          <cell r="B990" t="str">
            <v>VAR_cap</v>
          </cell>
          <cell r="C990" t="str">
            <v>-</v>
          </cell>
          <cell r="F990">
            <v>375</v>
          </cell>
          <cell r="G990">
            <v>11.848368678838995</v>
          </cell>
          <cell r="H990">
            <v>10.947118884982956</v>
          </cell>
          <cell r="I990">
            <v>6.3311927241859962</v>
          </cell>
          <cell r="J990">
            <v>2.8355470014540174</v>
          </cell>
        </row>
        <row r="991">
          <cell r="A991" t="str">
            <v>RES-ELCSPECADV</v>
          </cell>
          <cell r="B991" t="str">
            <v>VAR_fout</v>
          </cell>
          <cell r="C991" t="str">
            <v>RHSA-ELS</v>
          </cell>
          <cell r="F991">
            <v>6.0844044165168852E-5</v>
          </cell>
          <cell r="G991">
            <v>9.2904641067148486</v>
          </cell>
          <cell r="H991">
            <v>13.765878672946375</v>
          </cell>
          <cell r="I991">
            <v>18.436523427032544</v>
          </cell>
          <cell r="J991">
            <v>27.774278038248092</v>
          </cell>
        </row>
        <row r="992">
          <cell r="A992" t="str">
            <v>RES-ELCSPECADV</v>
          </cell>
          <cell r="B992" t="str">
            <v>VAR_fin</v>
          </cell>
          <cell r="C992" t="str">
            <v>RHSA_ELC</v>
          </cell>
          <cell r="F992">
            <v>4.0562696110112589E-5</v>
          </cell>
          <cell r="G992">
            <v>6.1936427378099008</v>
          </cell>
          <cell r="H992">
            <v>9.1772524486309113</v>
          </cell>
          <cell r="I992">
            <v>12.291015618021673</v>
          </cell>
          <cell r="J992">
            <v>18.516185358832065</v>
          </cell>
        </row>
        <row r="993">
          <cell r="A993" t="str">
            <v>RES-ELCSPECADV</v>
          </cell>
          <cell r="B993" t="str">
            <v>VAR_ncap</v>
          </cell>
          <cell r="C993" t="str">
            <v>-</v>
          </cell>
          <cell r="F993">
            <v>1.0054066097900001E-3</v>
          </cell>
          <cell r="G993">
            <v>0.98099412102706396</v>
          </cell>
          <cell r="H993">
            <v>0.47305784939393702</v>
          </cell>
          <cell r="I993">
            <v>0.49368579685503</v>
          </cell>
          <cell r="J993">
            <v>1.3281496122515599</v>
          </cell>
        </row>
        <row r="994">
          <cell r="A994" t="str">
            <v>RES-ELCSPECADV</v>
          </cell>
          <cell r="B994" t="str">
            <v>VAR_cap</v>
          </cell>
          <cell r="C994" t="str">
            <v>-</v>
          </cell>
          <cell r="F994">
            <v>1.0054066097900001E-3</v>
          </cell>
          <cell r="G994">
            <v>0.9819973591212191</v>
          </cell>
          <cell r="H994">
            <v>1.4550498828459488</v>
          </cell>
          <cell r="I994">
            <v>1.9487275543538471</v>
          </cell>
          <cell r="J994">
            <v>2.9357214382005612</v>
          </cell>
        </row>
        <row r="995">
          <cell r="A995" t="str">
            <v>ITOT-SWHSTG-ELCHP</v>
          </cell>
          <cell r="B995" t="str">
            <v>VAR_fout</v>
          </cell>
          <cell r="C995" t="str">
            <v>ITOT-SWHAELCH</v>
          </cell>
          <cell r="D995">
            <v>1.3480724432021337E-3</v>
          </cell>
          <cell r="E995">
            <v>4.1801075933339284E-4</v>
          </cell>
          <cell r="F995">
            <v>3.9507872924431378E-2</v>
          </cell>
          <cell r="G995">
            <v>1.4922334677952632E-2</v>
          </cell>
          <cell r="H995">
            <v>3.4100900907277319E-2</v>
          </cell>
          <cell r="I995">
            <v>0.15510308422390923</v>
          </cell>
          <cell r="J995">
            <v>0.37282072194091798</v>
          </cell>
        </row>
        <row r="996">
          <cell r="A996" t="str">
            <v>ITOT-SWHSTG-ELCHP</v>
          </cell>
          <cell r="B996" t="str">
            <v>VAR_fin</v>
          </cell>
          <cell r="C996" t="str">
            <v>ITOT-SWHAELCH</v>
          </cell>
          <cell r="D996">
            <v>1.0615019385398104E-3</v>
          </cell>
          <cell r="E996">
            <v>5.3659915048788183E-4</v>
          </cell>
          <cell r="F996">
            <v>5.0661503478192274E-2</v>
          </cell>
          <cell r="G996">
            <v>1.8684694630331011E-2</v>
          </cell>
          <cell r="H996">
            <v>4.1371564021815993E-2</v>
          </cell>
          <cell r="I996">
            <v>0.18231601885943458</v>
          </cell>
          <cell r="J996">
            <v>0.41426519247230581</v>
          </cell>
        </row>
        <row r="997">
          <cell r="A997" t="str">
            <v>ITOT-SWHSTG-ELCHP</v>
          </cell>
          <cell r="B997" t="str">
            <v>VAR_ncap</v>
          </cell>
          <cell r="C997" t="str">
            <v>-</v>
          </cell>
          <cell r="D997">
            <v>6.7676224298321402E-2</v>
          </cell>
          <cell r="E997">
            <v>1.4603058396640701E-4</v>
          </cell>
          <cell r="F997">
            <v>1.4960915601942701E-2</v>
          </cell>
          <cell r="G997">
            <v>4.4781084910274598E-2</v>
          </cell>
          <cell r="H997">
            <v>2.8371665996415801E-2</v>
          </cell>
          <cell r="I997">
            <v>3.43202868879924E-2</v>
          </cell>
          <cell r="J997">
            <v>0.107886590063098</v>
          </cell>
        </row>
        <row r="998">
          <cell r="A998" t="str">
            <v>ITOT-SWHSTG-ELCHP</v>
          </cell>
          <cell r="B998" t="str">
            <v>VAR_cap</v>
          </cell>
          <cell r="C998" t="str">
            <v>-</v>
          </cell>
          <cell r="D998">
            <v>6.7676224298321402E-2</v>
          </cell>
          <cell r="E998">
            <v>1.8800041711474993E-2</v>
          </cell>
          <cell r="F998">
            <v>3.3903512351335305E-2</v>
          </cell>
          <cell r="G998">
            <v>7.8899792253771389E-2</v>
          </cell>
          <cell r="H998">
            <v>9.17394818232104E-2</v>
          </cell>
          <cell r="I998">
            <v>9.4121270828761108E-2</v>
          </cell>
          <cell r="J998">
            <v>0.14352953397681306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RHNS_LTH_CHPWOD_ON</v>
          </cell>
          <cell r="D999">
            <v>1.9763307501503534E-4</v>
          </cell>
          <cell r="E999">
            <v>1.7424416835493364E-4</v>
          </cell>
          <cell r="F999">
            <v>7.6237024782632945E-5</v>
          </cell>
          <cell r="G999">
            <v>1.174115127308193E-4</v>
          </cell>
          <cell r="H999">
            <v>6.5423001031919898E-5</v>
          </cell>
          <cell r="I999">
            <v>1.0780140517809619E-4</v>
          </cell>
          <cell r="J999">
            <v>1.0774327398804972E-5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RHSA_LTH</v>
          </cell>
          <cell r="D1000">
            <v>7.3505145236842648E-4</v>
          </cell>
          <cell r="E1000">
            <v>3.7953724320407807E-4</v>
          </cell>
          <cell r="F1000">
            <v>1.5565495800745375E-4</v>
          </cell>
          <cell r="G1000">
            <v>3.1276524733665106E-4</v>
          </cell>
          <cell r="H1000">
            <v>3.1388875736735531E-4</v>
          </cell>
          <cell r="I1000">
            <v>2.8877475139819551E-4</v>
          </cell>
          <cell r="J1000">
            <v>2.7344715882862474E-4</v>
          </cell>
        </row>
        <row r="1001">
          <cell r="A1001" t="str">
            <v>D-RHNS_LTH_CHPWOD</v>
          </cell>
          <cell r="B1001" t="str">
            <v>VAR_fout</v>
          </cell>
          <cell r="C1001" t="str">
            <v>LTH</v>
          </cell>
          <cell r="E1001">
            <v>9.7386301553453112E-6</v>
          </cell>
          <cell r="F1001">
            <v>9.6416998250912484E-6</v>
          </cell>
          <cell r="G1001">
            <v>2.0943025503810048E-5</v>
          </cell>
          <cell r="H1001">
            <v>3.3484444667719983E-5</v>
          </cell>
          <cell r="I1001">
            <v>1.0237422505825353E-4</v>
          </cell>
          <cell r="J1001">
            <v>1.1692800793409949E-4</v>
          </cell>
        </row>
        <row r="1002">
          <cell r="A1002" t="str">
            <v>D-RHNS_LTH_CHPWOD</v>
          </cell>
          <cell r="B1002" t="str">
            <v>VAR_fin</v>
          </cell>
          <cell r="C1002" t="str">
            <v>RHNS_LTH_CHPWOD</v>
          </cell>
          <cell r="D1002">
            <v>9.326845273834618E-4</v>
          </cell>
          <cell r="E1002">
            <v>5.6352004171435677E-4</v>
          </cell>
          <cell r="F1002">
            <v>2.4153368261517797E-4</v>
          </cell>
          <cell r="G1002">
            <v>4.5111978557128059E-4</v>
          </cell>
          <cell r="H1002">
            <v>4.1279620306699518E-4</v>
          </cell>
          <cell r="I1002">
            <v>4.9895038163454521E-4</v>
          </cell>
          <cell r="J1002">
            <v>4.0114949416152941E-4</v>
          </cell>
        </row>
        <row r="1003">
          <cell r="A1003" t="str">
            <v>RHNM-SHCONBR4</v>
          </cell>
          <cell r="B1003" t="str">
            <v>VAR_ncap</v>
          </cell>
          <cell r="C1003" t="str">
            <v>-</v>
          </cell>
          <cell r="F1003">
            <v>375</v>
          </cell>
          <cell r="G1003">
            <v>4.73106761837278</v>
          </cell>
          <cell r="H1003">
            <v>4.3003918622553901</v>
          </cell>
        </row>
        <row r="1004">
          <cell r="A1004" t="str">
            <v>RHNM-SHCONBR4</v>
          </cell>
          <cell r="B1004" t="str">
            <v>VAR_cap</v>
          </cell>
          <cell r="C1004" t="str">
            <v>-</v>
          </cell>
          <cell r="F1004">
            <v>375</v>
          </cell>
          <cell r="G1004">
            <v>11.848368678838028</v>
          </cell>
          <cell r="H1004">
            <v>10.947118884980966</v>
          </cell>
          <cell r="I1004">
            <v>6.3311927241839498</v>
          </cell>
          <cell r="J1004">
            <v>2.8355470014540174</v>
          </cell>
        </row>
        <row r="1005">
          <cell r="A1005" t="str">
            <v>D-SBIO</v>
          </cell>
          <cell r="B1005" t="str">
            <v>VAR_fout</v>
          </cell>
          <cell r="C1005" t="str">
            <v>SBIO</v>
          </cell>
          <cell r="D1005">
            <v>4.0479078015955148</v>
          </cell>
          <cell r="E1005">
            <v>4.5874623138564417</v>
          </cell>
          <cell r="F1005">
            <v>3.0613866770378437</v>
          </cell>
          <cell r="G1005">
            <v>3.0405769708236456</v>
          </cell>
          <cell r="H1005">
            <v>3.4372411322654908</v>
          </cell>
          <cell r="I1005">
            <v>2.9588073401638466</v>
          </cell>
          <cell r="J1005">
            <v>2.8823392248416515</v>
          </cell>
        </row>
        <row r="1006">
          <cell r="A1006" t="str">
            <v>D-SBIO</v>
          </cell>
          <cell r="B1006" t="str">
            <v>VAR_fin</v>
          </cell>
          <cell r="C1006" t="str">
            <v>BIO</v>
          </cell>
          <cell r="D1006">
            <v>4.0479078015955148</v>
          </cell>
          <cell r="E1006">
            <v>4.5874623138564417</v>
          </cell>
          <cell r="F1006">
            <v>3.0613866770378437</v>
          </cell>
          <cell r="G1006">
            <v>3.0405769708236456</v>
          </cell>
          <cell r="H1006">
            <v>3.4372411322654908</v>
          </cell>
          <cell r="I1006">
            <v>2.9588073401638466</v>
          </cell>
          <cell r="J1006">
            <v>2.8823392248416515</v>
          </cell>
        </row>
        <row r="1007">
          <cell r="A1007" t="str">
            <v>RHEM-SHDEM</v>
          </cell>
          <cell r="B1007" t="str">
            <v>VAR_fout</v>
          </cell>
          <cell r="C1007" t="str">
            <v>RHEM-SHD</v>
          </cell>
          <cell r="D1007">
            <v>66.986774791699034</v>
          </cell>
          <cell r="E1007">
            <v>66.782026660973159</v>
          </cell>
          <cell r="F1007">
            <v>66.364927515686631</v>
          </cell>
          <cell r="G1007">
            <v>63.763343175585042</v>
          </cell>
          <cell r="H1007">
            <v>61.594591770108622</v>
          </cell>
          <cell r="I1007">
            <v>59.725063815024818</v>
          </cell>
          <cell r="J1007">
            <v>57.134169127252598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RHEM-SHNST</v>
          </cell>
          <cell r="D1008">
            <v>3.7911476409920762E-3</v>
          </cell>
          <cell r="E1008">
            <v>6.1508825687072095E-4</v>
          </cell>
          <cell r="F1008">
            <v>3.5487070546276504E-5</v>
          </cell>
          <cell r="G1008">
            <v>7.3228152159957605E-5</v>
          </cell>
          <cell r="H1008">
            <v>3.6261940755651369E-5</v>
          </cell>
          <cell r="I1008">
            <v>6.0624630351421404E-6</v>
          </cell>
          <cell r="J1008">
            <v>3.2750373100423423E-5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RHEM-SHPLT</v>
          </cell>
          <cell r="D1009">
            <v>1.3961673981064833</v>
          </cell>
          <cell r="E1009">
            <v>1.6068944000067134</v>
          </cell>
          <cell r="F1009">
            <v>0.28625520562371848</v>
          </cell>
          <cell r="G1009">
            <v>0.3374716474467836</v>
          </cell>
          <cell r="H1009">
            <v>0.34343692898090455</v>
          </cell>
          <cell r="I1009">
            <v>0.36304991511906309</v>
          </cell>
          <cell r="J1009">
            <v>0.2851962333114636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RHEM-SHNGAH</v>
          </cell>
          <cell r="D1010">
            <v>2.7484194905728243E-3</v>
          </cell>
          <cell r="E1010">
            <v>6.2814953073033202E-4</v>
          </cell>
          <cell r="F1010">
            <v>2.4337476581336315</v>
          </cell>
          <cell r="G1010">
            <v>6.9467540681055757</v>
          </cell>
          <cell r="H1010">
            <v>8.5403719706950518</v>
          </cell>
          <cell r="I1010">
            <v>10.405184841833806</v>
          </cell>
          <cell r="J1010">
            <v>9.2192268298415296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RHEM-SHLTHC-WOD</v>
          </cell>
          <cell r="D1011">
            <v>3.5938953749280592E-3</v>
          </cell>
          <cell r="E1011">
            <v>6.0059955375637143E-4</v>
          </cell>
          <cell r="F1011">
            <v>3.40347929106669E-5</v>
          </cell>
          <cell r="G1011">
            <v>2.1668756835091553E-5</v>
          </cell>
          <cell r="H1011">
            <v>2.1311993869142882E-5</v>
          </cell>
          <cell r="I1011">
            <v>6.9146371489294653E-5</v>
          </cell>
          <cell r="J1011">
            <v>4.1643146783717878E-5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RHEM-SHSOL</v>
          </cell>
          <cell r="D1012">
            <v>0.40712931268336339</v>
          </cell>
          <cell r="E1012">
            <v>0.47030881786294448</v>
          </cell>
          <cell r="F1012">
            <v>9.9630238107176351E-3</v>
          </cell>
          <cell r="G1012">
            <v>1.1801455400144033E-2</v>
          </cell>
          <cell r="H1012">
            <v>1.1770021776547375E-2</v>
          </cell>
          <cell r="I1012">
            <v>1.1114516204050002E-2</v>
          </cell>
          <cell r="J1012">
            <v>9.1809713572729313E-3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RHEM-SHLTHD</v>
          </cell>
          <cell r="D1013">
            <v>3.2038224981837935</v>
          </cell>
          <cell r="E1013">
            <v>3.7876539051621996</v>
          </cell>
          <cell r="F1013">
            <v>4.4290907379136266</v>
          </cell>
          <cell r="G1013">
            <v>5.2634924577645403</v>
          </cell>
          <cell r="H1013">
            <v>5.4117187438966932</v>
          </cell>
          <cell r="I1013">
            <v>5.6680643638995463</v>
          </cell>
          <cell r="J1013">
            <v>5.130934553129002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RHEM-SHNGA</v>
          </cell>
          <cell r="D1014">
            <v>18.987678954975813</v>
          </cell>
          <cell r="E1014">
            <v>18.880403924133777</v>
          </cell>
          <cell r="F1014">
            <v>21.081761591513054</v>
          </cell>
          <cell r="G1014">
            <v>15.214433759031099</v>
          </cell>
          <cell r="H1014">
            <v>9.47243526094476</v>
          </cell>
          <cell r="I1014">
            <v>3.8597640271150113</v>
          </cell>
          <cell r="J1014">
            <v>1.4360922296924032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RHEM-SHELCB</v>
          </cell>
          <cell r="D1015">
            <v>4.6189749857922111</v>
          </cell>
          <cell r="E1015">
            <v>3.1629187269981327</v>
          </cell>
          <cell r="F1015">
            <v>3.8046387066145028E-2</v>
          </cell>
          <cell r="G1015">
            <v>1.2736487116064527E-2</v>
          </cell>
          <cell r="H1015">
            <v>4.1431399690214973E-3</v>
          </cell>
          <cell r="I1015">
            <v>3.3591099148193174E-3</v>
          </cell>
          <cell r="J1015">
            <v>3.65201950918569E-3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RHEM-SHELCH</v>
          </cell>
          <cell r="D1016">
            <v>9.8916762759407337</v>
          </cell>
          <cell r="E1016">
            <v>11.654095633319649</v>
          </cell>
          <cell r="F1016">
            <v>10.027102556905124</v>
          </cell>
          <cell r="G1016">
            <v>14.927055654136804</v>
          </cell>
          <cell r="H1016">
            <v>18.148926571296403</v>
          </cell>
          <cell r="I1016">
            <v>22.204656816784532</v>
          </cell>
          <cell r="J1016">
            <v>22.172925112039547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RHEM-SHLFO</v>
          </cell>
          <cell r="D1017">
            <v>23.43052655724561</v>
          </cell>
          <cell r="E1017">
            <v>18.686359456233681</v>
          </cell>
          <cell r="F1017">
            <v>20.242306247567896</v>
          </cell>
          <cell r="G1017">
            <v>10.639591687326803</v>
          </cell>
          <cell r="H1017">
            <v>7.0313938323409602</v>
          </cell>
          <cell r="I1017">
            <v>2.6196564287481126</v>
          </cell>
          <cell r="J1017">
            <v>0.28398035990219839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RHEM-SHCON</v>
          </cell>
          <cell r="D1018">
            <v>0.25611767255259504</v>
          </cell>
          <cell r="E1018">
            <v>3.57306475343779</v>
          </cell>
          <cell r="F1018">
            <v>2.872543698208248</v>
          </cell>
          <cell r="G1018">
            <v>5.9224550742750308</v>
          </cell>
          <cell r="H1018">
            <v>8.7326804132738669</v>
          </cell>
          <cell r="I1018">
            <v>11.295428134487878</v>
          </cell>
          <cell r="J1018">
            <v>16.658754299351362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RHEM-SHWOD</v>
          </cell>
          <cell r="D1019">
            <v>4.7350891815680072</v>
          </cell>
          <cell r="E1019">
            <v>4.9441153634651771</v>
          </cell>
          <cell r="F1019">
            <v>4.9534647160438503</v>
          </cell>
          <cell r="G1019">
            <v>4.4942494737858585</v>
          </cell>
          <cell r="H1019">
            <v>3.9055119618557286</v>
          </cell>
          <cell r="I1019">
            <v>3.3013756166793842</v>
          </cell>
          <cell r="J1019">
            <v>1.9394667773657535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RHEM-SHLTHC-NGA</v>
          </cell>
          <cell r="D1020">
            <v>5.7179279109813984E-2</v>
          </cell>
          <cell r="E1020">
            <v>2.3413971573732855E-2</v>
          </cell>
          <cell r="F1020">
            <v>2.1450705642122841E-5</v>
          </cell>
          <cell r="G1020">
            <v>1.7978139239544041E-5</v>
          </cell>
          <cell r="H1020">
            <v>2.0682695942397447E-5</v>
          </cell>
          <cell r="I1020">
            <v>1.7449105560428266E-5</v>
          </cell>
          <cell r="J1020">
            <v>3.7226381197238304E-5</v>
          </cell>
        </row>
        <row r="1021">
          <cell r="A1021" t="str">
            <v>ITOT-SWHH2BR</v>
          </cell>
          <cell r="B1021" t="str">
            <v>VAR_fout</v>
          </cell>
          <cell r="C1021" t="str">
            <v>ITOT-SWH</v>
          </cell>
          <cell r="H1021">
            <v>7.8055342400521148</v>
          </cell>
          <cell r="I1021">
            <v>8.3374332998865537</v>
          </cell>
          <cell r="J1021">
            <v>8.3373996415219676</v>
          </cell>
        </row>
        <row r="1022">
          <cell r="A1022" t="str">
            <v>ITOT-SWHH2BR</v>
          </cell>
          <cell r="B1022" t="str">
            <v>VAR_fin</v>
          </cell>
          <cell r="C1022" t="str">
            <v>IH2</v>
          </cell>
          <cell r="H1022">
            <v>9.6751040249772622</v>
          </cell>
          <cell r="I1022">
            <v>10.311886889083157</v>
          </cell>
          <cell r="J1022">
            <v>10.267106786914308</v>
          </cell>
        </row>
        <row r="1023">
          <cell r="A1023" t="str">
            <v>ITOT-SWHH2BR</v>
          </cell>
          <cell r="B1023" t="str">
            <v>VAR_ncap</v>
          </cell>
          <cell r="C1023" t="str">
            <v>-</v>
          </cell>
          <cell r="H1023">
            <v>0.61954462572808999</v>
          </cell>
          <cell r="I1023">
            <v>8.3842237376254097E-2</v>
          </cell>
          <cell r="J1023">
            <v>0.34027325112657703</v>
          </cell>
        </row>
        <row r="1024">
          <cell r="A1024" t="str">
            <v>ITOT-SWHH2BR</v>
          </cell>
          <cell r="B1024" t="str">
            <v>VAR_cap</v>
          </cell>
          <cell r="C1024" t="str">
            <v>-</v>
          </cell>
          <cell r="H1024">
            <v>0.61954462572808999</v>
          </cell>
          <cell r="I1024">
            <v>0.70325231200856431</v>
          </cell>
          <cell r="J1024">
            <v>0.66292986886504957</v>
          </cell>
        </row>
        <row r="1025">
          <cell r="A1025" t="str">
            <v>RHNS-SHSTG-ELC</v>
          </cell>
          <cell r="B1025" t="str">
            <v>VAR_fout</v>
          </cell>
          <cell r="C1025" t="str">
            <v>RHNS-SHAELCB</v>
          </cell>
          <cell r="E1025">
            <v>3.0088291112400451E-3</v>
          </cell>
          <cell r="F1025">
            <v>2.6966461158508013E-4</v>
          </cell>
          <cell r="G1025">
            <v>8.8425587279039489E-4</v>
          </cell>
          <cell r="H1025">
            <v>8.0105586630700568E-4</v>
          </cell>
          <cell r="I1025">
            <v>1.4747347950700754E-3</v>
          </cell>
          <cell r="J1025">
            <v>1.3322769161489274E-3</v>
          </cell>
        </row>
        <row r="1026">
          <cell r="A1026" t="str">
            <v>RHNS-SHSTG-ELC</v>
          </cell>
          <cell r="B1026" t="str">
            <v>VAR_fout</v>
          </cell>
          <cell r="C1026" t="str">
            <v>AUX_RHNS-SHSTG-ELC_OUT</v>
          </cell>
          <cell r="E1026">
            <v>3.0118379403512819E-3</v>
          </cell>
          <cell r="F1026">
            <v>2.6993427619666503E-4</v>
          </cell>
          <cell r="G1026">
            <v>8.8514012866318544E-4</v>
          </cell>
          <cell r="H1026">
            <v>8.0185692217331198E-4</v>
          </cell>
          <cell r="I1026">
            <v>1.4762095298651448E-3</v>
          </cell>
          <cell r="J1026">
            <v>1.3336091930650749E-3</v>
          </cell>
        </row>
        <row r="1027">
          <cell r="A1027" t="str">
            <v>RHNS-SHSTG-ELC</v>
          </cell>
          <cell r="B1027" t="str">
            <v>VAR_fin</v>
          </cell>
          <cell r="C1027" t="str">
            <v>RHNS-SHAELCB</v>
          </cell>
          <cell r="E1027">
            <v>2.9081355358544711E-3</v>
          </cell>
          <cell r="F1027">
            <v>1.7411698547825308E-4</v>
          </cell>
          <cell r="G1027">
            <v>8.0291683000989814E-4</v>
          </cell>
          <cell r="H1027">
            <v>7.5488513706873631E-4</v>
          </cell>
          <cell r="I1027">
            <v>1.3985938706680366E-3</v>
          </cell>
          <cell r="J1027">
            <v>1.3216237899445359E-3</v>
          </cell>
        </row>
        <row r="1028">
          <cell r="A1028" t="str">
            <v>RHNS-SHSTG-ELC</v>
          </cell>
          <cell r="B1028" t="str">
            <v>VAR_ncap</v>
          </cell>
          <cell r="C1028" t="str">
            <v>-</v>
          </cell>
          <cell r="D1028">
            <v>6.5481792627650095E-4</v>
          </cell>
          <cell r="E1028">
            <v>9.4958320967110203E-4</v>
          </cell>
          <cell r="F1028">
            <v>5.2809516623800103E-4</v>
          </cell>
          <cell r="G1028">
            <v>6.1959459174830195E-4</v>
          </cell>
          <cell r="H1028">
            <v>1.4956677519947499E-3</v>
          </cell>
          <cell r="I1028">
            <v>4.7457047543086802E-4</v>
          </cell>
          <cell r="J1028">
            <v>3.4130636644201799E-4</v>
          </cell>
        </row>
        <row r="1029">
          <cell r="A1029" t="str">
            <v>RHNS-SHSTG-ELC</v>
          </cell>
          <cell r="B1029" t="str">
            <v>VAR_cap</v>
          </cell>
          <cell r="C1029" t="str">
            <v>-</v>
          </cell>
          <cell r="D1029">
            <v>6.5481792627650095E-4</v>
          </cell>
          <cell r="E1029">
            <v>1.481119395312628E-3</v>
          </cell>
          <cell r="F1029">
            <v>1.5716486585641331E-3</v>
          </cell>
          <cell r="G1029">
            <v>1.5678750870928701E-3</v>
          </cell>
          <cell r="H1029">
            <v>2.3173998565816081E-3</v>
          </cell>
          <cell r="I1029">
            <v>1.5287093264869471E-3</v>
          </cell>
          <cell r="J1029">
            <v>6.4770689505965395E-4</v>
          </cell>
        </row>
        <row r="1030">
          <cell r="A1030" t="str">
            <v>RHES-SHCOABR</v>
          </cell>
          <cell r="B1030" t="str">
            <v>VAR_fout</v>
          </cell>
          <cell r="C1030" t="str">
            <v>CO2_R</v>
          </cell>
          <cell r="D1030">
            <v>9.2728601039877496</v>
          </cell>
          <cell r="E1030">
            <v>9.2711067197275501</v>
          </cell>
          <cell r="F1030">
            <v>2.5001913696749498</v>
          </cell>
          <cell r="G1030">
            <v>2.2053707618221001E-2</v>
          </cell>
        </row>
        <row r="1031">
          <cell r="A1031" t="str">
            <v>RHES-SHCOABR</v>
          </cell>
          <cell r="B1031" t="str">
            <v>VAR_fout</v>
          </cell>
          <cell r="C1031" t="str">
            <v>RHES-SHCOA</v>
          </cell>
          <cell r="D1031">
            <v>7.2022214399904735E-2</v>
          </cell>
          <cell r="E1031">
            <v>7.2008595881379006E-2</v>
          </cell>
          <cell r="F1031">
            <v>2.1557763122038238E-2</v>
          </cell>
          <cell r="G1031">
            <v>1.9032325884117376E-4</v>
          </cell>
        </row>
        <row r="1032">
          <cell r="A1032" t="str">
            <v>RHES-SHCOABR</v>
          </cell>
          <cell r="B1032" t="str">
            <v>VAR_fin</v>
          </cell>
          <cell r="C1032" t="str">
            <v>RCOA</v>
          </cell>
          <cell r="D1032">
            <v>0.10003085333320115</v>
          </cell>
          <cell r="E1032">
            <v>0.10001193872413756</v>
          </cell>
          <cell r="F1032">
            <v>2.6970780686892657E-2</v>
          </cell>
          <cell r="G1032">
            <v>2.3790407355146724E-4</v>
          </cell>
        </row>
        <row r="1033">
          <cell r="A1033" t="str">
            <v>RHES-SHCOABR</v>
          </cell>
          <cell r="B1033" t="str">
            <v>VAR_cap</v>
          </cell>
          <cell r="C1033" t="str">
            <v>-</v>
          </cell>
          <cell r="D1033">
            <v>7.0000000000000001E-3</v>
          </cell>
          <cell r="E1033">
            <v>6.9932379087926325E-3</v>
          </cell>
          <cell r="F1033">
            <v>3.0152748074418999E-3</v>
          </cell>
          <cell r="G1033">
            <v>2.5890387824050419E-5</v>
          </cell>
          <cell r="H1033">
            <v>-3.5394028287901759E-6</v>
          </cell>
        </row>
        <row r="1034">
          <cell r="A1034" t="str">
            <v>D-INGA</v>
          </cell>
          <cell r="B1034" t="str">
            <v>VAR_fout</v>
          </cell>
          <cell r="C1034" t="str">
            <v>CO2</v>
          </cell>
          <cell r="D1034">
            <v>2112.5202690565902</v>
          </cell>
          <cell r="E1034">
            <v>1841.5167163055601</v>
          </cell>
          <cell r="F1034">
            <v>1915.4340317082499</v>
          </cell>
          <cell r="G1034">
            <v>1172.48043042719</v>
          </cell>
          <cell r="H1034">
            <v>582.62910701102396</v>
          </cell>
          <cell r="I1034">
            <v>191.33496807532299</v>
          </cell>
          <cell r="J1034">
            <v>80.746559715032106</v>
          </cell>
        </row>
        <row r="1035">
          <cell r="A1035" t="str">
            <v>D-INGA</v>
          </cell>
          <cell r="B1035" t="str">
            <v>VAR_fout</v>
          </cell>
          <cell r="C1035" t="str">
            <v>IH2</v>
          </cell>
          <cell r="H1035">
            <v>0.35761989542112516</v>
          </cell>
          <cell r="I1035">
            <v>0.17700229004532306</v>
          </cell>
          <cell r="J1035">
            <v>0.11752901646791306</v>
          </cell>
        </row>
        <row r="1036">
          <cell r="A1036" t="str">
            <v>D-INGA</v>
          </cell>
          <cell r="B1036" t="str">
            <v>VAR_fout</v>
          </cell>
          <cell r="C1036" t="str">
            <v>INGA</v>
          </cell>
          <cell r="D1036">
            <v>37.653615154402253</v>
          </cell>
          <cell r="E1036">
            <v>32.548930473134021</v>
          </cell>
          <cell r="F1036">
            <v>36.221152998557265</v>
          </cell>
          <cell r="G1036">
            <v>23.088687101288528</v>
          </cell>
          <cell r="H1036">
            <v>12.662468128728481</v>
          </cell>
          <cell r="I1036">
            <v>5.7468939493290883</v>
          </cell>
          <cell r="J1036">
            <v>3.8100483070636191</v>
          </cell>
        </row>
        <row r="1037">
          <cell r="A1037" t="str">
            <v>D-INGA</v>
          </cell>
          <cell r="B1037" t="str">
            <v>VAR_fin</v>
          </cell>
          <cell r="C1037" t="str">
            <v>NGA</v>
          </cell>
          <cell r="D1037">
            <v>37.456033139301184</v>
          </cell>
          <cell r="E1037">
            <v>32.651005608254586</v>
          </cell>
          <cell r="F1037">
            <v>33.961596306883877</v>
          </cell>
          <cell r="G1037">
            <v>20.788660113957238</v>
          </cell>
          <cell r="H1037">
            <v>10.330303315798306</v>
          </cell>
          <cell r="I1037">
            <v>3.3924639729667234</v>
          </cell>
          <cell r="J1037">
            <v>1.4316765906920563</v>
          </cell>
        </row>
        <row r="1038">
          <cell r="A1038" t="str">
            <v>D-INGA</v>
          </cell>
          <cell r="B1038" t="str">
            <v>VAR_fin</v>
          </cell>
          <cell r="C1038" t="str">
            <v>BNGA</v>
          </cell>
          <cell r="D1038">
            <v>0.31787099163468469</v>
          </cell>
          <cell r="E1038">
            <v>3.424517107988538E-3</v>
          </cell>
          <cell r="F1038">
            <v>2.3752694965447527</v>
          </cell>
          <cell r="G1038">
            <v>2.3755356612297041</v>
          </cell>
          <cell r="H1038">
            <v>2.3755499676361169</v>
          </cell>
          <cell r="I1038">
            <v>2.3755623433613335</v>
          </cell>
          <cell r="J1038">
            <v>2.3934303696814632</v>
          </cell>
        </row>
        <row r="1039">
          <cell r="A1039" t="str">
            <v>D-INGA</v>
          </cell>
          <cell r="B1039" t="str">
            <v>VAR_fin</v>
          </cell>
          <cell r="C1039" t="str">
            <v>H2</v>
          </cell>
          <cell r="H1039">
            <v>0.3576139012031524</v>
          </cell>
          <cell r="I1039">
            <v>0.17699099884315608</v>
          </cell>
          <cell r="J1039">
            <v>0.11745588517488839</v>
          </cell>
        </row>
        <row r="1040">
          <cell r="A1040" t="str">
            <v>D-INGA</v>
          </cell>
          <cell r="B1040" t="str">
            <v>VAR_ncap</v>
          </cell>
          <cell r="C1040" t="str">
            <v>-</v>
          </cell>
          <cell r="D1040">
            <v>5.5158831164173697E-5</v>
          </cell>
          <cell r="E1040">
            <v>1.23665487383722E-5</v>
          </cell>
          <cell r="F1040">
            <v>1.49201713848045E-5</v>
          </cell>
          <cell r="G1040">
            <v>1.96324156417171E-5</v>
          </cell>
          <cell r="H1040">
            <v>1.02506867910183E-3</v>
          </cell>
          <cell r="I1040">
            <v>5.06001920489503E-5</v>
          </cell>
          <cell r="J1040">
            <v>2.4454668424117397E-4</v>
          </cell>
        </row>
        <row r="1041">
          <cell r="A1041" t="str">
            <v>D-INGA</v>
          </cell>
          <cell r="B1041" t="str">
            <v>VAR_cap</v>
          </cell>
          <cell r="C1041" t="str">
            <v>-</v>
          </cell>
          <cell r="D1041">
            <v>1.9845385290972641</v>
          </cell>
          <cell r="E1041">
            <v>1.9845508956460025</v>
          </cell>
          <cell r="F1041">
            <v>1.9845658158173873</v>
          </cell>
          <cell r="G1041">
            <v>1.984585448233029</v>
          </cell>
          <cell r="H1041">
            <v>1.985610516912131</v>
          </cell>
          <cell r="I1041">
            <v>1.9856611171041798</v>
          </cell>
          <cell r="J1041">
            <v>1.0968817309682408</v>
          </cell>
        </row>
        <row r="1042">
          <cell r="A1042" t="str">
            <v>RHEM-SHNGAHP</v>
          </cell>
          <cell r="B1042" t="str">
            <v>VAR_fout</v>
          </cell>
          <cell r="C1042" t="str">
            <v>CO2_R</v>
          </cell>
          <cell r="F1042">
            <v>72.532974401258997</v>
          </cell>
          <cell r="G1042">
            <v>199.74461179469799</v>
          </cell>
          <cell r="H1042">
            <v>243.077089247104</v>
          </cell>
          <cell r="I1042">
            <v>292.38629029008302</v>
          </cell>
          <cell r="J1042">
            <v>245.76344595453699</v>
          </cell>
        </row>
        <row r="1043">
          <cell r="A1043" t="str">
            <v>RHEM-SHNGAHP</v>
          </cell>
          <cell r="B1043" t="str">
            <v>VAR_fout</v>
          </cell>
          <cell r="C1043" t="str">
            <v>RHEM-SHANGAH</v>
          </cell>
          <cell r="F1043">
            <v>2.4340137662972512</v>
          </cell>
          <cell r="G1043">
            <v>6.9470085072484444</v>
          </cell>
          <cell r="H1043">
            <v>8.5404996510300286</v>
          </cell>
          <cell r="I1043">
            <v>10.405280190906163</v>
          </cell>
          <cell r="J1043">
            <v>9.2194013628269289</v>
          </cell>
        </row>
        <row r="1044">
          <cell r="A1044" t="str">
            <v>RHEM-SHNGAHP</v>
          </cell>
          <cell r="B1044" t="str">
            <v>VAR_fin</v>
          </cell>
          <cell r="C1044" t="str">
            <v>RHEMELCHPC</v>
          </cell>
          <cell r="F1044">
            <v>2.4340137662972512</v>
          </cell>
          <cell r="G1044">
            <v>6.9470085072484444</v>
          </cell>
          <cell r="H1044">
            <v>8.5404996510300286</v>
          </cell>
          <cell r="I1044">
            <v>10.405280190906163</v>
          </cell>
          <cell r="J1044">
            <v>9.2194013628269289</v>
          </cell>
        </row>
        <row r="1045">
          <cell r="A1045" t="str">
            <v>RHEM-SHNGAHP</v>
          </cell>
          <cell r="B1045" t="str">
            <v>VAR_fin</v>
          </cell>
          <cell r="C1045" t="str">
            <v>RNGA</v>
          </cell>
          <cell r="F1045">
            <v>1.286045645412393</v>
          </cell>
          <cell r="G1045">
            <v>3.5415711311116596</v>
          </cell>
          <cell r="H1045">
            <v>4.309877468920285</v>
          </cell>
          <cell r="I1045">
            <v>5.1841540831574919</v>
          </cell>
          <cell r="J1045">
            <v>4.357507906995334</v>
          </cell>
        </row>
        <row r="1046">
          <cell r="A1046" t="str">
            <v>RHEM-SHNGAHP</v>
          </cell>
          <cell r="B1046" t="str">
            <v>VAR_ncap</v>
          </cell>
          <cell r="C1046" t="str">
            <v>-</v>
          </cell>
          <cell r="D1046">
            <v>2.01254224972051E-6</v>
          </cell>
          <cell r="E1046">
            <v>5.07859927937708E-6</v>
          </cell>
          <cell r="F1046">
            <v>0.17242977501937701</v>
          </cell>
          <cell r="G1046">
            <v>0.31839618680738102</v>
          </cell>
          <cell r="H1046">
            <v>0.112887272782165</v>
          </cell>
          <cell r="I1046">
            <v>0.37607803084108998</v>
          </cell>
          <cell r="J1046">
            <v>0.331782854618137</v>
          </cell>
        </row>
        <row r="1047">
          <cell r="A1047" t="str">
            <v>RHEM-SHNGAHP</v>
          </cell>
          <cell r="B1047" t="str">
            <v>VAR_cap</v>
          </cell>
          <cell r="C1047" t="str">
            <v>-</v>
          </cell>
          <cell r="D1047">
            <v>2.01254224972051E-6</v>
          </cell>
          <cell r="E1047">
            <v>-3.9043745212959902E-8</v>
          </cell>
          <cell r="F1047">
            <v>0.17243103341843638</v>
          </cell>
          <cell r="G1047">
            <v>0.49082735479581907</v>
          </cell>
          <cell r="H1047">
            <v>0.60370364054281933</v>
          </cell>
          <cell r="I1047">
            <v>0.73695878010314408</v>
          </cell>
          <cell r="J1047">
            <v>0.65246254415508276</v>
          </cell>
        </row>
        <row r="1048">
          <cell r="A1048" t="str">
            <v>D-SPLT</v>
          </cell>
          <cell r="B1048" t="str">
            <v>VAR_fout</v>
          </cell>
          <cell r="C1048" t="str">
            <v>SPLT</v>
          </cell>
          <cell r="D1048">
            <v>2.085722942349133</v>
          </cell>
          <cell r="E1048">
            <v>2.4001397450892603</v>
          </cell>
          <cell r="F1048">
            <v>0.55263559063612044</v>
          </cell>
          <cell r="G1048">
            <v>0.71187208479320641</v>
          </cell>
          <cell r="H1048">
            <v>0.82403515484801937</v>
          </cell>
          <cell r="I1048">
            <v>1.0493339945128586</v>
          </cell>
          <cell r="J1048">
            <v>1.0770210024951972</v>
          </cell>
        </row>
        <row r="1049">
          <cell r="A1049" t="str">
            <v>D-SPLT</v>
          </cell>
          <cell r="B1049" t="str">
            <v>VAR_fin</v>
          </cell>
          <cell r="C1049" t="str">
            <v>PLT</v>
          </cell>
          <cell r="D1049">
            <v>2.085722942349133</v>
          </cell>
          <cell r="E1049">
            <v>2.4001397450892603</v>
          </cell>
          <cell r="F1049">
            <v>0.55263559063612044</v>
          </cell>
          <cell r="G1049">
            <v>0.71187208479320641</v>
          </cell>
          <cell r="H1049">
            <v>0.82403515484801937</v>
          </cell>
          <cell r="I1049">
            <v>1.0493339945128586</v>
          </cell>
          <cell r="J1049">
            <v>1.0770210024951972</v>
          </cell>
        </row>
        <row r="1050">
          <cell r="A1050" t="str">
            <v>RHES-SHCONBR</v>
          </cell>
          <cell r="B1050" t="str">
            <v>VAR_fout</v>
          </cell>
          <cell r="C1050" t="str">
            <v>RHES-SHCON</v>
          </cell>
          <cell r="F1050">
            <v>1.9142660016115559E-3</v>
          </cell>
          <cell r="G1050">
            <v>1.8030903262094512E-3</v>
          </cell>
          <cell r="H1050">
            <v>3.3571484668557081E-3</v>
          </cell>
          <cell r="I1050">
            <v>3.4619227721126977E-3</v>
          </cell>
          <cell r="J1050">
            <v>3.6244184373167361E-3</v>
          </cell>
        </row>
        <row r="1051">
          <cell r="A1051" t="str">
            <v>RHES-SHCONBR</v>
          </cell>
          <cell r="B1051" t="str">
            <v>VAR_fin</v>
          </cell>
          <cell r="C1051" t="str">
            <v>CON</v>
          </cell>
          <cell r="F1051">
            <v>1.9142660016115559E-3</v>
          </cell>
          <cell r="G1051">
            <v>1.8030903262094512E-3</v>
          </cell>
          <cell r="H1051">
            <v>3.3571484668557081E-3</v>
          </cell>
          <cell r="I1051">
            <v>3.4619227721126977E-3</v>
          </cell>
          <cell r="J1051">
            <v>3.6244184373167361E-3</v>
          </cell>
        </row>
        <row r="1052">
          <cell r="A1052" t="str">
            <v>RHES-SHCONBR</v>
          </cell>
          <cell r="B1052" t="str">
            <v>VAR_ncap</v>
          </cell>
          <cell r="C1052" t="str">
            <v>-</v>
          </cell>
          <cell r="E1052">
            <v>8.2668054397054898E-7</v>
          </cell>
          <cell r="F1052">
            <v>1.4512877090720099E-4</v>
          </cell>
          <cell r="G1052">
            <v>1.6951349174488701E-6</v>
          </cell>
          <cell r="H1052">
            <v>1.3169879625478999E-4</v>
          </cell>
          <cell r="I1052">
            <v>6.7029210046686599E-6</v>
          </cell>
          <cell r="J1052">
            <v>4.2541525234997796E-6</v>
          </cell>
        </row>
        <row r="1053">
          <cell r="A1053" t="str">
            <v>RHES-SHCONBR</v>
          </cell>
          <cell r="B1053" t="str">
            <v>VAR_cap</v>
          </cell>
          <cell r="C1053" t="str">
            <v>-</v>
          </cell>
          <cell r="E1053">
            <v>8.2668054397054898E-7</v>
          </cell>
          <cell r="F1053">
            <v>1.4554563742370994E-4</v>
          </cell>
          <cell r="G1053">
            <v>1.4676825971996347E-4</v>
          </cell>
          <cell r="H1053">
            <v>2.7779423542035448E-4</v>
          </cell>
          <cell r="I1053">
            <v>2.8409371980521767E-4</v>
          </cell>
          <cell r="J1053">
            <v>2.8940426757152884E-4</v>
          </cell>
        </row>
        <row r="1054">
          <cell r="A1054" t="str">
            <v>RHSA-WHSOLBR</v>
          </cell>
          <cell r="B1054" t="str">
            <v>VAR_fout</v>
          </cell>
          <cell r="C1054" t="str">
            <v>RHSA-WHASOL</v>
          </cell>
          <cell r="D1054">
            <v>1.721488024659851</v>
          </cell>
          <cell r="E1054">
            <v>1.9870786683026969</v>
          </cell>
          <cell r="F1054">
            <v>0.93247128084154562</v>
          </cell>
          <cell r="G1054">
            <v>1.0600215725630913</v>
          </cell>
          <cell r="H1054">
            <v>1.1234027844173262</v>
          </cell>
          <cell r="I1054">
            <v>1.2090892688906547</v>
          </cell>
          <cell r="J1054">
            <v>1.2000308504004487</v>
          </cell>
        </row>
        <row r="1055">
          <cell r="A1055" t="str">
            <v>RHSA-WHSOLBR</v>
          </cell>
          <cell r="B1055" t="str">
            <v>VAR_fin</v>
          </cell>
          <cell r="C1055" t="str">
            <v>SOL</v>
          </cell>
          <cell r="D1055">
            <v>1.721488024659851</v>
          </cell>
          <cell r="E1055">
            <v>1.9870786683026969</v>
          </cell>
          <cell r="F1055">
            <v>0.93247128084154562</v>
          </cell>
          <cell r="G1055">
            <v>1.0600215725630913</v>
          </cell>
          <cell r="H1055">
            <v>1.1234027844173262</v>
          </cell>
          <cell r="I1055">
            <v>1.2090892688906547</v>
          </cell>
          <cell r="J1055">
            <v>1.2000308504004487</v>
          </cell>
        </row>
        <row r="1056">
          <cell r="A1056" t="str">
            <v>RHSA-WHSOLBR</v>
          </cell>
          <cell r="B1056" t="str">
            <v>VAR_fin</v>
          </cell>
          <cell r="C1056" t="str">
            <v>RHSASOLBRC</v>
          </cell>
          <cell r="D1056">
            <v>1.721488024659851</v>
          </cell>
          <cell r="E1056">
            <v>1.9870786683026969</v>
          </cell>
          <cell r="F1056">
            <v>0.93247128084154562</v>
          </cell>
          <cell r="G1056">
            <v>1.0600215725630913</v>
          </cell>
          <cell r="H1056">
            <v>1.1234027844173262</v>
          </cell>
          <cell r="I1056">
            <v>1.2090892688906547</v>
          </cell>
          <cell r="J1056">
            <v>1.2000308504004487</v>
          </cell>
        </row>
        <row r="1057">
          <cell r="A1057" t="str">
            <v>RHSA-WHSOLBR</v>
          </cell>
          <cell r="B1057" t="str">
            <v>VAR_ncap</v>
          </cell>
          <cell r="C1057" t="str">
            <v>-</v>
          </cell>
          <cell r="E1057">
            <v>8.2473656069182805E-2</v>
          </cell>
          <cell r="F1057">
            <v>3.2856019171264001E-5</v>
          </cell>
          <cell r="G1057">
            <v>9.2610938849064297E-5</v>
          </cell>
          <cell r="H1057">
            <v>0.13873918679303199</v>
          </cell>
          <cell r="I1057">
            <v>0.13254457866567901</v>
          </cell>
          <cell r="J1057">
            <v>0.10599117255054499</v>
          </cell>
        </row>
        <row r="1058">
          <cell r="A1058" t="str">
            <v>RHSA-WHSOLBR</v>
          </cell>
          <cell r="B1058" t="str">
            <v>VAR_cap</v>
          </cell>
          <cell r="C1058" t="str">
            <v>-</v>
          </cell>
          <cell r="D1058">
            <v>0.25000991745774798</v>
          </cell>
          <cell r="E1058">
            <v>0.33248107919376657</v>
          </cell>
          <cell r="F1058">
            <v>0.33248576007547376</v>
          </cell>
          <cell r="G1058">
            <v>0.33256844857892914</v>
          </cell>
          <cell r="H1058">
            <v>0.24590899419859774</v>
          </cell>
          <cell r="I1058">
            <v>0.27133800344557746</v>
          </cell>
          <cell r="J1058">
            <v>0.26086109786950001</v>
          </cell>
        </row>
        <row r="1059">
          <cell r="A1059" t="str">
            <v>SCOM-SHCONBR</v>
          </cell>
          <cell r="B1059" t="str">
            <v>VAR_ncap</v>
          </cell>
          <cell r="C1059" t="str">
            <v>-</v>
          </cell>
          <cell r="D1059">
            <v>4.3529810261044498E-7</v>
          </cell>
          <cell r="E1059">
            <v>3.9859921072466901E-7</v>
          </cell>
          <cell r="F1059">
            <v>3.8521652776719502E-7</v>
          </cell>
          <cell r="G1059">
            <v>3.8354073673431602E-7</v>
          </cell>
          <cell r="H1059">
            <v>5.1861414172402702E-6</v>
          </cell>
          <cell r="I1059">
            <v>3.3989382414763102E-7</v>
          </cell>
          <cell r="J1059">
            <v>2.4253178700415799E-7</v>
          </cell>
        </row>
        <row r="1060">
          <cell r="A1060" t="str">
            <v>SCOM-SHCONBR</v>
          </cell>
          <cell r="B1060" t="str">
            <v>VAR_cap</v>
          </cell>
          <cell r="C1060" t="str">
            <v>-</v>
          </cell>
          <cell r="D1060">
            <v>4.3529810261044498E-7</v>
          </cell>
          <cell r="E1060">
            <v>3.9998341168279606E-7</v>
          </cell>
          <cell r="F1060">
            <v>3.8571193336491995E-7</v>
          </cell>
          <cell r="G1060">
            <v>3.4912073773483001E-7</v>
          </cell>
          <cell r="H1060">
            <v>6.0098880520409584E-6</v>
          </cell>
          <cell r="I1060">
            <v>6.0013432895436701E-6</v>
          </cell>
          <cell r="J1060">
            <v>6.6298959522232867E-6</v>
          </cell>
        </row>
        <row r="1061">
          <cell r="A1061" t="str">
            <v>RHNM-SHNGABR</v>
          </cell>
          <cell r="B1061" t="str">
            <v>VAR_fout</v>
          </cell>
          <cell r="C1061" t="str">
            <v>CO2_R</v>
          </cell>
          <cell r="E1061">
            <v>43.105513583523802</v>
          </cell>
          <cell r="F1061">
            <v>6.4796293394754301</v>
          </cell>
          <cell r="G1061">
            <v>8.7541363670543895</v>
          </cell>
          <cell r="H1061">
            <v>8.6095068416420499</v>
          </cell>
          <cell r="I1061">
            <v>5.2243672522354903</v>
          </cell>
        </row>
        <row r="1062">
          <cell r="A1062" t="str">
            <v>RHNM-SHNGABR</v>
          </cell>
          <cell r="B1062" t="str">
            <v>VAR_fout</v>
          </cell>
          <cell r="C1062" t="str">
            <v>RHNM-SHNGA</v>
          </cell>
          <cell r="E1062">
            <v>0.72606804794942537</v>
          </cell>
          <cell r="F1062">
            <v>0.11026214172713766</v>
          </cell>
          <cell r="G1062">
            <v>0.14896682730327046</v>
          </cell>
          <cell r="H1062">
            <v>0.14650570485421466</v>
          </cell>
          <cell r="I1062">
            <v>8.8901678201123893E-2</v>
          </cell>
        </row>
        <row r="1063">
          <cell r="A1063" t="str">
            <v>RHNM-SHNGABR</v>
          </cell>
          <cell r="B1063" t="str">
            <v>VAR_fin</v>
          </cell>
          <cell r="C1063" t="str">
            <v>RNGA</v>
          </cell>
          <cell r="E1063">
            <v>0.76428215573623715</v>
          </cell>
          <cell r="F1063">
            <v>0.11488704502616016</v>
          </cell>
          <cell r="G1063">
            <v>0.15521518381302107</v>
          </cell>
          <cell r="H1063">
            <v>0.15265083052556816</v>
          </cell>
          <cell r="I1063">
            <v>9.2630625039636275E-2</v>
          </cell>
        </row>
        <row r="1064">
          <cell r="A1064" t="str">
            <v>RHNM-SHNGABR</v>
          </cell>
          <cell r="B1064" t="str">
            <v>VAR_ncap</v>
          </cell>
          <cell r="C1064" t="str">
            <v>-</v>
          </cell>
          <cell r="E1064">
            <v>5.7437723501045798E-2</v>
          </cell>
          <cell r="F1064">
            <v>4.2726132922030401E-5</v>
          </cell>
          <cell r="G1064">
            <v>5.4632024719936901E-5</v>
          </cell>
          <cell r="H1064">
            <v>1.16776996127461E-3</v>
          </cell>
          <cell r="I1064">
            <v>7.2643511067644103E-3</v>
          </cell>
          <cell r="J1064">
            <v>6.6906263580169001E-6</v>
          </cell>
        </row>
        <row r="1065">
          <cell r="A1065" t="str">
            <v>RHNM-SHNGABR</v>
          </cell>
          <cell r="B1065" t="str">
            <v>VAR_cap</v>
          </cell>
          <cell r="C1065" t="str">
            <v>-</v>
          </cell>
          <cell r="E1065">
            <v>5.7437723501045798E-2</v>
          </cell>
          <cell r="F1065">
            <v>5.6619402223148041E-2</v>
          </cell>
          <cell r="G1065">
            <v>5.467175918879582E-2</v>
          </cell>
          <cell r="H1065">
            <v>2.9093236684883918E-2</v>
          </cell>
          <cell r="I1065">
            <v>8.461123640022725E-3</v>
          </cell>
          <cell r="J1065">
            <v>2.3670914720284961E-4</v>
          </cell>
        </row>
        <row r="1066">
          <cell r="A1066" t="str">
            <v>RHES-SHSOLBR</v>
          </cell>
          <cell r="B1066" t="str">
            <v>VAR_fout</v>
          </cell>
          <cell r="C1066" t="str">
            <v>RHES-SHASOL</v>
          </cell>
          <cell r="D1066">
            <v>0.37732610756439694</v>
          </cell>
          <cell r="E1066">
            <v>0.43564756190053988</v>
          </cell>
          <cell r="F1066">
            <v>2.181168448208828E-2</v>
          </cell>
          <cell r="G1066">
            <v>2.3031003078551233E-2</v>
          </cell>
          <cell r="H1066">
            <v>2.2632223644102761E-2</v>
          </cell>
          <cell r="I1066">
            <v>2.1946613908146922E-2</v>
          </cell>
          <cell r="J1066">
            <v>1.9804417961922199E-2</v>
          </cell>
        </row>
        <row r="1067">
          <cell r="A1067" t="str">
            <v>RHES-SHSOLBR</v>
          </cell>
          <cell r="B1067" t="str">
            <v>VAR_fin</v>
          </cell>
          <cell r="C1067" t="str">
            <v>SOL</v>
          </cell>
          <cell r="D1067">
            <v>0.37732610756439694</v>
          </cell>
          <cell r="E1067">
            <v>0.43564756190053988</v>
          </cell>
          <cell r="F1067">
            <v>2.181168448208828E-2</v>
          </cell>
          <cell r="G1067">
            <v>2.3031003078551233E-2</v>
          </cell>
          <cell r="H1067">
            <v>2.2632223644102761E-2</v>
          </cell>
          <cell r="I1067">
            <v>2.1946613908146922E-2</v>
          </cell>
          <cell r="J1067">
            <v>1.9804417961922199E-2</v>
          </cell>
        </row>
        <row r="1068">
          <cell r="A1068" t="str">
            <v>RHES-SHSOLBR</v>
          </cell>
          <cell r="B1068" t="str">
            <v>VAR_ncap</v>
          </cell>
          <cell r="C1068" t="str">
            <v>-</v>
          </cell>
          <cell r="E1068">
            <v>8.8577324671688992E-3</v>
          </cell>
          <cell r="F1068">
            <v>1.1424961594622501E-5</v>
          </cell>
          <cell r="G1068">
            <v>2.1198676234191002E-5</v>
          </cell>
          <cell r="H1068">
            <v>7.6409902250717003E-5</v>
          </cell>
          <cell r="I1068">
            <v>4.29004497169238E-3</v>
          </cell>
          <cell r="J1068">
            <v>5.47163808782737E-4</v>
          </cell>
        </row>
        <row r="1069">
          <cell r="A1069" t="str">
            <v>RHES-SHSOLBR</v>
          </cell>
          <cell r="B1069" t="str">
            <v>VAR_cap</v>
          </cell>
          <cell r="C1069" t="str">
            <v>-</v>
          </cell>
          <cell r="D1069">
            <v>5.4798678617278197E-2</v>
          </cell>
          <cell r="E1069">
            <v>6.3655123426944002E-2</v>
          </cell>
          <cell r="F1069">
            <v>6.3636833922505104E-2</v>
          </cell>
          <cell r="G1069">
            <v>6.3648224821907212E-2</v>
          </cell>
          <cell r="H1069">
            <v>1.874782677093861E-2</v>
          </cell>
          <cell r="I1069">
            <v>4.3757195088774516E-3</v>
          </cell>
          <cell r="J1069">
            <v>3.689141169334771E-3</v>
          </cell>
        </row>
        <row r="1070">
          <cell r="A1070" t="str">
            <v>SCOM-SHSOLBR</v>
          </cell>
          <cell r="B1070" t="str">
            <v>VAR_fout</v>
          </cell>
          <cell r="C1070" t="str">
            <v>SCOM-SHASOL</v>
          </cell>
          <cell r="D1070">
            <v>0.62710016377056388</v>
          </cell>
          <cell r="E1070">
            <v>0.68752506511414369</v>
          </cell>
          <cell r="F1070">
            <v>0.55479707708111603</v>
          </cell>
          <cell r="G1070">
            <v>0.60815181420141473</v>
          </cell>
          <cell r="H1070">
            <v>0.66058573889387395</v>
          </cell>
          <cell r="I1070">
            <v>0.73654652882347915</v>
          </cell>
          <cell r="J1070">
            <v>0.77783246923295146</v>
          </cell>
        </row>
        <row r="1071">
          <cell r="A1071" t="str">
            <v>SCOM-SHSOLBR</v>
          </cell>
          <cell r="B1071" t="str">
            <v>VAR_fin</v>
          </cell>
          <cell r="C1071" t="str">
            <v>SOL</v>
          </cell>
          <cell r="D1071">
            <v>0.62710016377056388</v>
          </cell>
          <cell r="E1071">
            <v>0.68752506511414369</v>
          </cell>
          <cell r="F1071">
            <v>0.55479707708111603</v>
          </cell>
          <cell r="G1071">
            <v>0.60815181420141473</v>
          </cell>
          <cell r="H1071">
            <v>0.66058573889387395</v>
          </cell>
          <cell r="I1071">
            <v>0.73654652882347915</v>
          </cell>
          <cell r="J1071">
            <v>0.77783246923295146</v>
          </cell>
        </row>
        <row r="1072">
          <cell r="A1072" t="str">
            <v>SCOM-SHSOLBR</v>
          </cell>
          <cell r="B1072" t="str">
            <v>VAR_ncap</v>
          </cell>
          <cell r="C1072" t="str">
            <v>-</v>
          </cell>
          <cell r="D1072">
            <v>1.5935382007979001E-4</v>
          </cell>
          <cell r="E1072">
            <v>9.39963759144718E-3</v>
          </cell>
          <cell r="F1072">
            <v>4.34628502715629E-5</v>
          </cell>
          <cell r="G1072">
            <v>8.9556565707593706E-5</v>
          </cell>
          <cell r="H1072">
            <v>6.9307175960674094E-2</v>
          </cell>
          <cell r="I1072">
            <v>4.5340519804297097E-2</v>
          </cell>
          <cell r="J1072">
            <v>6.4322264151693995E-2</v>
          </cell>
        </row>
        <row r="1073">
          <cell r="A1073" t="str">
            <v>SCOM-SHSOLBR</v>
          </cell>
          <cell r="B1073" t="str">
            <v>VAR_cap</v>
          </cell>
          <cell r="C1073" t="str">
            <v>-</v>
          </cell>
          <cell r="D1073">
            <v>9.1216947296159298E-2</v>
          </cell>
          <cell r="E1073">
            <v>0.10061431455423141</v>
          </cell>
          <cell r="F1073">
            <v>0.10063721711131521</v>
          </cell>
          <cell r="G1073">
            <v>0.10071645995903808</v>
          </cell>
          <cell r="H1073">
            <v>9.7876502091108583E-2</v>
          </cell>
          <cell r="I1073">
            <v>0.11470307687506973</v>
          </cell>
          <cell r="J1073">
            <v>0.12653623644960343</v>
          </cell>
        </row>
        <row r="1074">
          <cell r="A1074" t="str">
            <v>RHEM-SHSTG-ELCHP</v>
          </cell>
          <cell r="B1074" t="str">
            <v>VAR_fout</v>
          </cell>
          <cell r="C1074" t="str">
            <v>RHEM-SHAELCH</v>
          </cell>
          <cell r="D1074">
            <v>1.2880022670492326</v>
          </cell>
          <cell r="E1074">
            <v>1.4818519823238268</v>
          </cell>
          <cell r="F1074">
            <v>1.7646283835700229</v>
          </cell>
          <cell r="G1074">
            <v>2.3578381454904473</v>
          </cell>
          <cell r="H1074">
            <v>2.4682073204936863</v>
          </cell>
          <cell r="I1074">
            <v>3.2490914488001561</v>
          </cell>
          <cell r="J1074">
            <v>3.3537380349424848</v>
          </cell>
        </row>
        <row r="1075">
          <cell r="A1075" t="str">
            <v>RHEM-SHSTG-ELCHP</v>
          </cell>
          <cell r="B1075" t="str">
            <v>VAR_fout</v>
          </cell>
          <cell r="C1075" t="str">
            <v>AUX_RHEM-SHSTG-ELCHP_OUT</v>
          </cell>
          <cell r="D1075">
            <v>1.2892902693162815</v>
          </cell>
          <cell r="E1075">
            <v>1.4833338343061508</v>
          </cell>
          <cell r="F1075">
            <v>1.7663930119535942</v>
          </cell>
          <cell r="G1075">
            <v>2.3601959836359385</v>
          </cell>
          <cell r="H1075">
            <v>2.4706755278141794</v>
          </cell>
          <cell r="I1075">
            <v>3.2523405402489565</v>
          </cell>
          <cell r="J1075">
            <v>3.3570917729774279</v>
          </cell>
        </row>
        <row r="1076">
          <cell r="A1076" t="str">
            <v>RHEM-SHSTG-ELCHP</v>
          </cell>
          <cell r="B1076" t="str">
            <v>VAR_fin</v>
          </cell>
          <cell r="C1076" t="str">
            <v>RHEM-SHAELCH</v>
          </cell>
          <cell r="D1076">
            <v>1.2884374087664918</v>
          </cell>
          <cell r="E1076">
            <v>1.4819971356358193</v>
          </cell>
          <cell r="F1076">
            <v>1.7646716954602264</v>
          </cell>
          <cell r="G1076">
            <v>2.357940330076814</v>
          </cell>
          <cell r="H1076">
            <v>2.4683231007264648</v>
          </cell>
          <cell r="I1076">
            <v>3.2492027761880538</v>
          </cell>
          <cell r="J1076">
            <v>3.3538557802454076</v>
          </cell>
        </row>
        <row r="1077">
          <cell r="A1077" t="str">
            <v>RHEM-SHSTG-ELCHP</v>
          </cell>
          <cell r="B1077" t="str">
            <v>VAR_ncap</v>
          </cell>
          <cell r="C1077" t="str">
            <v>-</v>
          </cell>
          <cell r="D1077">
            <v>0.195999925268592</v>
          </cell>
          <cell r="E1077">
            <v>1.3092067514591499E-3</v>
          </cell>
          <cell r="F1077">
            <v>1.17747348306808E-3</v>
          </cell>
          <cell r="G1077">
            <v>5.4982906883684797E-2</v>
          </cell>
          <cell r="H1077">
            <v>0.19871855178313799</v>
          </cell>
          <cell r="I1077">
            <v>0.13395861238211601</v>
          </cell>
          <cell r="J1077">
            <v>0.18837397265037001</v>
          </cell>
        </row>
        <row r="1078">
          <cell r="A1078" t="str">
            <v>RHEM-SHSTG-ELCHP</v>
          </cell>
          <cell r="B1078" t="str">
            <v>VAR_cap</v>
          </cell>
          <cell r="C1078" t="str">
            <v>-</v>
          </cell>
          <cell r="D1078">
            <v>0.195999925268592</v>
          </cell>
          <cell r="E1078">
            <v>0.19365108801179354</v>
          </cell>
          <cell r="F1078">
            <v>0.19363719395785642</v>
          </cell>
          <cell r="G1078">
            <v>0.24815761498767785</v>
          </cell>
          <cell r="H1078">
            <v>0.30167299082896376</v>
          </cell>
          <cell r="I1078">
            <v>0.36918559663457773</v>
          </cell>
          <cell r="J1078">
            <v>0.36853114635527162</v>
          </cell>
        </row>
        <row r="1079">
          <cell r="A1079" t="str">
            <v>ITOT-SWHELCBR</v>
          </cell>
          <cell r="B1079" t="str">
            <v>VAR_fout</v>
          </cell>
          <cell r="C1079" t="str">
            <v>ITOT-SWHAELC</v>
          </cell>
          <cell r="D1079">
            <v>9.8141619496138333</v>
          </cell>
          <cell r="E1079">
            <v>10.335130020858854</v>
          </cell>
          <cell r="F1079">
            <v>10.597154447882525</v>
          </cell>
          <cell r="G1079">
            <v>13.317086969426741</v>
          </cell>
          <cell r="H1079">
            <v>13.317076471097238</v>
          </cell>
          <cell r="I1079">
            <v>13.317061571614225</v>
          </cell>
          <cell r="J1079">
            <v>13.317060267374348</v>
          </cell>
        </row>
        <row r="1080">
          <cell r="A1080" t="str">
            <v>ITOT-SWHELCBR</v>
          </cell>
          <cell r="B1080" t="str">
            <v>VAR_fin</v>
          </cell>
          <cell r="C1080" t="str">
            <v>ITOT_ELC</v>
          </cell>
          <cell r="D1080">
            <v>11.647261143137959</v>
          </cell>
          <cell r="E1080">
            <v>12.259033789444954</v>
          </cell>
          <cell r="F1080">
            <v>12.559846957037371</v>
          </cell>
          <cell r="G1080">
            <v>15.762662326249723</v>
          </cell>
          <cell r="H1080">
            <v>15.741830861950394</v>
          </cell>
          <cell r="I1080">
            <v>15.721049157102904</v>
          </cell>
          <cell r="J1080">
            <v>15.679683336216792</v>
          </cell>
        </row>
        <row r="1081">
          <cell r="A1081" t="str">
            <v>ITOT-SWHELCBR</v>
          </cell>
          <cell r="B1081" t="str">
            <v>VAR_ncap</v>
          </cell>
          <cell r="C1081" t="str">
            <v>-</v>
          </cell>
          <cell r="E1081">
            <v>0.195937581071362</v>
          </cell>
          <cell r="F1081">
            <v>1.4658584998031E-2</v>
          </cell>
          <cell r="G1081">
            <v>0.258033237202895</v>
          </cell>
          <cell r="H1081">
            <v>0.60549366148251105</v>
          </cell>
          <cell r="I1081">
            <v>0.28744338578177597</v>
          </cell>
          <cell r="J1081">
            <v>0.646804517586408</v>
          </cell>
        </row>
        <row r="1082">
          <cell r="A1082" t="str">
            <v>ITOT-SWHELCBR</v>
          </cell>
          <cell r="B1082" t="str">
            <v>VAR_cap</v>
          </cell>
          <cell r="C1082" t="str">
            <v>-</v>
          </cell>
          <cell r="D1082">
            <v>0.55644997413134401</v>
          </cell>
          <cell r="E1082">
            <v>0.75228738902036107</v>
          </cell>
          <cell r="F1082">
            <v>0.76673073157571625</v>
          </cell>
          <cell r="G1082">
            <v>1.0242666083314971</v>
          </cell>
          <cell r="H1082">
            <v>1.1213503201232524</v>
          </cell>
          <cell r="I1082">
            <v>1.0709697990591704</v>
          </cell>
          <cell r="J1082">
            <v>1.1112193367177079</v>
          </cell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370.9749982797789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370.9749982797789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3.87245424420408E-2</v>
          </cell>
          <cell r="G23">
            <v>4.8029370718954896</v>
          </cell>
          <cell r="H23">
            <v>7.4021868884676696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5.5655621895826801</v>
          </cell>
          <cell r="H24">
            <v>15.320211118881801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20.847900448093199</v>
          </cell>
          <cell r="F25">
            <v>2.0141281347758002</v>
          </cell>
          <cell r="G25">
            <v>5.3388726385875902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1127.97272019907</v>
          </cell>
          <cell r="F26">
            <v>1120.96952212052</v>
          </cell>
          <cell r="G26">
            <v>1260.6116011224699</v>
          </cell>
          <cell r="H26">
            <v>909.76400001043805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30.4938763336528</v>
          </cell>
          <cell r="H27">
            <v>80.137987802175402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1928.7243838209699</v>
          </cell>
          <cell r="F28">
            <v>1537.4272806643</v>
          </cell>
          <cell r="G28">
            <v>1741.6949708731299</v>
          </cell>
          <cell r="H28">
            <v>900.20132426777104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70.247804467185105</v>
          </cell>
          <cell r="H29">
            <v>163.46964728901401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6.0708568208921001</v>
          </cell>
          <cell r="G30">
            <v>2.37046534435351</v>
          </cell>
          <cell r="H30">
            <v>5.1279269403334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7.7465635740704003E-2</v>
          </cell>
          <cell r="G31">
            <v>1.59394189712735</v>
          </cell>
          <cell r="H31">
            <v>3.8875001872251098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1.08008994916944</v>
          </cell>
          <cell r="G32">
            <v>5.1095686072255697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7.8353906385904102</v>
          </cell>
          <cell r="H33">
            <v>19.908045329006899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1043.1446976712</v>
          </cell>
          <cell r="F34">
            <v>1155.2875816594701</v>
          </cell>
          <cell r="G34">
            <v>643.24748411699602</v>
          </cell>
          <cell r="H34">
            <v>452.82401288682797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479.81944668575801</v>
          </cell>
          <cell r="F35">
            <v>391.63095827753</v>
          </cell>
          <cell r="G35">
            <v>555.54102999001702</v>
          </cell>
          <cell r="H35">
            <v>350.29291512057102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726.729998070021</v>
          </cell>
          <cell r="F36">
            <v>603.81232171432998</v>
          </cell>
          <cell r="G36">
            <v>658.22139672475805</v>
          </cell>
          <cell r="H36">
            <v>290.89892708687398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1783.67686066532</v>
          </cell>
          <cell r="F37">
            <v>1640.9746237633001</v>
          </cell>
          <cell r="G37">
            <v>1237.9224606564801</v>
          </cell>
          <cell r="H37">
            <v>591.29789336870397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0.693017293254791</v>
          </cell>
          <cell r="G38">
            <v>3.7135303848319898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23.080205764433298</v>
          </cell>
          <cell r="F39">
            <v>2.3539809106699998</v>
          </cell>
          <cell r="G39">
            <v>7.79838475670996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9.2728601039877496</v>
          </cell>
          <cell r="F40">
            <v>9.2711067197275501</v>
          </cell>
          <cell r="G40">
            <v>2.5001913696749498</v>
          </cell>
          <cell r="H40">
            <v>2.2053707618221001E-2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72.532974401258997</v>
          </cell>
          <cell r="H41">
            <v>199.74461179469799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43.105513583523802</v>
          </cell>
          <cell r="G42">
            <v>6.4796293394754301</v>
          </cell>
          <cell r="H42">
            <v>8.7541363670543895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7143.2690734288499</v>
          </cell>
          <cell r="F43">
            <v>6514.8071717896501</v>
          </cell>
          <cell r="G43">
            <v>6323.6220729240003</v>
          </cell>
          <cell r="H43">
            <v>3999.0533801656602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69.718644533660594</v>
          </cell>
          <cell r="H44">
            <v>186.15308141094201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108.99525853243</v>
          </cell>
          <cell r="F45">
            <v>98.260247082389498</v>
          </cell>
          <cell r="G45">
            <v>87.055432645654093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1440.95087646311</v>
          </cell>
          <cell r="F46">
            <v>1508.4890124480301</v>
          </cell>
          <cell r="G46">
            <v>1282.2013583896501</v>
          </cell>
          <cell r="H46">
            <v>948.61851031839103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2229.9172547481699</v>
          </cell>
          <cell r="F47">
            <v>1901.4017817936301</v>
          </cell>
          <cell r="G47">
            <v>1924.62038695047</v>
          </cell>
          <cell r="H47">
            <v>1141.5613924884201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3779.8633897437098</v>
          </cell>
          <cell r="F48">
            <v>3508.1510413240499</v>
          </cell>
          <cell r="G48">
            <v>3363.5958225194299</v>
          </cell>
          <cell r="H48">
            <v>2276.33298421775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1.8024761143534799E-2</v>
          </cell>
          <cell r="F49">
            <v>1.8420303747621301E-2</v>
          </cell>
          <cell r="G49">
            <v>1.85468073786847E-2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3.4042172393417203</v>
          </cell>
          <cell r="F50">
            <v>1.9862194594751681</v>
          </cell>
          <cell r="G50">
            <v>2.4323184082919402</v>
          </cell>
          <cell r="H50">
            <v>2.3666620365021656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2.7958753205819999E-2</v>
          </cell>
          <cell r="F51">
            <v>0.97414012385538096</v>
          </cell>
          <cell r="G51">
            <v>1.1949969839761749</v>
          </cell>
          <cell r="H51">
            <v>3.2128362572512978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5.2580846741960201</v>
          </cell>
          <cell r="F52">
            <v>11.58203171963078</v>
          </cell>
          <cell r="G52">
            <v>11.763821887056718</v>
          </cell>
          <cell r="H52">
            <v>14.104179790402931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5.6604835703303698</v>
          </cell>
          <cell r="F53">
            <v>42.515039072476696</v>
          </cell>
          <cell r="G53">
            <v>114.93592353010041</v>
          </cell>
          <cell r="H53">
            <v>474.20182050413075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9.2477629988184091</v>
          </cell>
          <cell r="F54">
            <v>23.581040548970201</v>
          </cell>
          <cell r="G54">
            <v>25.52430803638148</v>
          </cell>
          <cell r="H54">
            <v>24.801032198685199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15.269850457960199</v>
          </cell>
          <cell r="G55">
            <v>119.2123211919085</v>
          </cell>
          <cell r="H55">
            <v>88.028747222893358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61.376655447472501</v>
          </cell>
          <cell r="F56">
            <v>128.43179679945999</v>
          </cell>
          <cell r="G56">
            <v>40.867610333111102</v>
          </cell>
          <cell r="H56">
            <v>20.040376359342801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814.07834168813599</v>
          </cell>
          <cell r="F57">
            <v>549.03626873974497</v>
          </cell>
          <cell r="G57">
            <v>400.840399473113</v>
          </cell>
          <cell r="H57">
            <v>199.81605967488801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0.20390290081791612</v>
          </cell>
          <cell r="F58">
            <v>0.2316648111686373</v>
          </cell>
          <cell r="G58">
            <v>0.24545930858055431</v>
          </cell>
          <cell r="H58">
            <v>0.16268456404881679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2.876450800608024</v>
          </cell>
          <cell r="F59">
            <v>2.9409652180507839</v>
          </cell>
          <cell r="G59">
            <v>3.0550089185334501</v>
          </cell>
          <cell r="H59">
            <v>0.63165564159765664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322.44588117845615</v>
          </cell>
          <cell r="F60">
            <v>384.94909044842353</v>
          </cell>
          <cell r="G60">
            <v>377.67313175371953</v>
          </cell>
          <cell r="H60">
            <v>158.76415194422739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0.26947804419943011</v>
          </cell>
          <cell r="F61">
            <v>0.33455341521042203</v>
          </cell>
          <cell r="G61">
            <v>0.44261986393296776</v>
          </cell>
          <cell r="H61">
            <v>0.41356033242225088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2.6858962576044787</v>
          </cell>
          <cell r="F62">
            <v>2.7010791647537404</v>
          </cell>
          <cell r="G62">
            <v>2.5950971442430544</v>
          </cell>
          <cell r="H62">
            <v>0.33213292940948486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0.38561874373514399</v>
          </cell>
          <cell r="G63">
            <v>0.7372752700693721</v>
          </cell>
          <cell r="H63">
            <v>1.0290069247189351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0.34762369097276902</v>
          </cell>
          <cell r="G64">
            <v>0.99221408881808804</v>
          </cell>
          <cell r="H64">
            <v>1.3113231216905761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0.31274700323689503</v>
          </cell>
          <cell r="G65">
            <v>0.57160734107352806</v>
          </cell>
          <cell r="H65">
            <v>0.78368327088775902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0.456712635709624</v>
          </cell>
          <cell r="G66">
            <v>1.206169595071573</v>
          </cell>
          <cell r="H66">
            <v>1.439526932217934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0.296411804493034</v>
          </cell>
          <cell r="G67">
            <v>0.76687449452337597</v>
          </cell>
          <cell r="H67">
            <v>0.98678924777243004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0.53808486304684999</v>
          </cell>
          <cell r="G68">
            <v>1.5067854801159162</v>
          </cell>
          <cell r="H68">
            <v>1.7712340731783911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0.37182087476796299</v>
          </cell>
          <cell r="G69">
            <v>0.88750535720073798</v>
          </cell>
          <cell r="H69">
            <v>1.0536645418289581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1.5751141594673099</v>
          </cell>
          <cell r="G70">
            <v>1.906196197373067</v>
          </cell>
          <cell r="H70">
            <v>1.575576605956016E-2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0.29127231288781302</v>
          </cell>
          <cell r="G71">
            <v>0.66316429566392809</v>
          </cell>
          <cell r="H71">
            <v>0.79679900769849099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0.206802213298168</v>
          </cell>
          <cell r="G72">
            <v>0.37488457603200598</v>
          </cell>
          <cell r="H72">
            <v>2.6939995053107957E-2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0.113960591784332</v>
          </cell>
          <cell r="G73">
            <v>0.2083914515819914</v>
          </cell>
          <cell r="H73">
            <v>6.4865680326531505E-2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3.9840710948780299E-2</v>
          </cell>
          <cell r="G74">
            <v>7.6386181334697795E-2</v>
          </cell>
          <cell r="H74">
            <v>3.2740662305095869E-2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1405.0523126144401</v>
          </cell>
          <cell r="F75">
            <v>1141.8993864582501</v>
          </cell>
          <cell r="G75">
            <v>843.91626587571602</v>
          </cell>
          <cell r="H75">
            <v>363.51056458708501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51.446553118282601</v>
          </cell>
          <cell r="G76">
            <v>4.4320537282748704</v>
          </cell>
          <cell r="H76">
            <v>4.3985889618587404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3.2670351869359369</v>
          </cell>
          <cell r="F77">
            <v>3.7891440337412492</v>
          </cell>
          <cell r="G77">
            <v>15.285327259128964</v>
          </cell>
          <cell r="H77">
            <v>34.050471758626351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1274.03475118443</v>
          </cell>
          <cell r="G78">
            <v>1246.0301606927001</v>
          </cell>
          <cell r="H78">
            <v>974.60878457224806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4.5354458074094932</v>
          </cell>
          <cell r="F79">
            <v>8.2237044535167723</v>
          </cell>
          <cell r="G79">
            <v>7.8303268598205058</v>
          </cell>
          <cell r="H79">
            <v>6.139456060877249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4.6545948678413342</v>
          </cell>
          <cell r="F80">
            <v>2.792859903781475</v>
          </cell>
          <cell r="G80">
            <v>2.9425022339760201</v>
          </cell>
          <cell r="H80">
            <v>2.8273326092135136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4722.2922433225003</v>
          </cell>
          <cell r="F81">
            <v>3936.6197371253902</v>
          </cell>
          <cell r="G81">
            <v>3142.65624055642</v>
          </cell>
          <cell r="H81">
            <v>967.89240731566997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3.0645906158321168</v>
          </cell>
          <cell r="F82">
            <v>2.4163859788710123</v>
          </cell>
          <cell r="G82">
            <v>2.5641590884102534</v>
          </cell>
          <cell r="H82">
            <v>2.4359988842438791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4168.0090186930302</v>
          </cell>
          <cell r="F83">
            <v>3569.7839899390901</v>
          </cell>
          <cell r="G83">
            <v>2519.1008492471201</v>
          </cell>
          <cell r="H83">
            <v>1108.66067808456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110.95518214881901</v>
          </cell>
          <cell r="F84">
            <v>103.272240835547</v>
          </cell>
          <cell r="G84">
            <v>70.184337389865803</v>
          </cell>
          <cell r="H84">
            <v>33.234076652798102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1.393826297542462</v>
          </cell>
          <cell r="F85">
            <v>1.5110679938616918</v>
          </cell>
          <cell r="G85">
            <v>1.9063093946908405</v>
          </cell>
          <cell r="H85">
            <v>0.25595120939034577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0.110787386585197</v>
          </cell>
          <cell r="G86">
            <v>0.2208265556992727</v>
          </cell>
          <cell r="H86">
            <v>1.124604458097174E-2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8.1218587168048098E-2</v>
          </cell>
          <cell r="G87">
            <v>0.21893952163029862</v>
          </cell>
          <cell r="H87">
            <v>1.5961794898882359E-2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5.8860143580549584E-2</v>
          </cell>
          <cell r="F88">
            <v>8.1895375189181507</v>
          </cell>
          <cell r="G88">
            <v>19.044907668835005</v>
          </cell>
          <cell r="H88">
            <v>1.0091964542891921E-2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7.05283275325298E-2</v>
          </cell>
          <cell r="G89">
            <v>0.20012715306198181</v>
          </cell>
          <cell r="H89">
            <v>1.5121312599620899E-2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7.4807299944246504</v>
          </cell>
          <cell r="F90">
            <v>8.2095989869952213</v>
          </cell>
          <cell r="G90">
            <v>11.932413284119193</v>
          </cell>
          <cell r="H90">
            <v>6.7367896056592644E-2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2.6729202998897701E-2</v>
          </cell>
          <cell r="G91">
            <v>7.0659600606572698E-2</v>
          </cell>
          <cell r="H91">
            <v>2.2357174850516089E-2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45.299253093273492</v>
          </cell>
          <cell r="F92">
            <v>63.898668878553835</v>
          </cell>
          <cell r="G92">
            <v>110.46359536645299</v>
          </cell>
          <cell r="H92">
            <v>9.04404350153203E-2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1.1318876772878821</v>
          </cell>
          <cell r="F93">
            <v>0.2884424084069413</v>
          </cell>
          <cell r="G93">
            <v>0.49084327192584087</v>
          </cell>
          <cell r="H93">
            <v>7.591504480191559E-2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1.00679151797333E-2</v>
          </cell>
          <cell r="F94">
            <v>9.1708866803655795E-3</v>
          </cell>
          <cell r="G94">
            <v>8.9167855403469599E-3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1.26981517733958</v>
          </cell>
          <cell r="F95">
            <v>1.2687951942556699</v>
          </cell>
          <cell r="G95">
            <v>1.26114876922759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92.556053785637005</v>
          </cell>
          <cell r="F96">
            <v>91.725909116649802</v>
          </cell>
          <cell r="G96">
            <v>68.259732407313805</v>
          </cell>
          <cell r="H96">
            <v>32.3939979993592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26.12483910510224</v>
          </cell>
          <cell r="F98">
            <v>43.791252335697102</v>
          </cell>
          <cell r="G98">
            <v>98.429377925854851</v>
          </cell>
          <cell r="H98">
            <v>83.69578791211805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22.947561675901468</v>
          </cell>
          <cell r="F99">
            <v>54.943244819941455</v>
          </cell>
          <cell r="G99">
            <v>72.137473187449928</v>
          </cell>
          <cell r="H99">
            <v>111.1980541716658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252.8305676103414</v>
          </cell>
          <cell r="F100">
            <v>392.53532249593826</v>
          </cell>
          <cell r="G100">
            <v>437.96411115372973</v>
          </cell>
          <cell r="H100">
            <v>349.71177961065416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0.37483022668619692</v>
          </cell>
          <cell r="F101">
            <v>1.3725502317487452</v>
          </cell>
          <cell r="G101">
            <v>1.5237323505547193</v>
          </cell>
          <cell r="H101">
            <v>1.5185178970417148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265.53418536709137</v>
          </cell>
          <cell r="F102">
            <v>425.34222282605191</v>
          </cell>
          <cell r="G102">
            <v>432.73280030182559</v>
          </cell>
          <cell r="H102">
            <v>350.21597632863876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68.57667661432356</v>
          </cell>
          <cell r="F103">
            <v>94.455242867457784</v>
          </cell>
          <cell r="G103">
            <v>80.465530030476941</v>
          </cell>
          <cell r="H103">
            <v>62.550269311174603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237.89810636298449</v>
          </cell>
          <cell r="F104">
            <v>388.71624874622523</v>
          </cell>
          <cell r="G104">
            <v>746.18548330442559</v>
          </cell>
          <cell r="H104">
            <v>623.71040915035371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295.21853723086258</v>
          </cell>
          <cell r="F105">
            <v>390.78809297073803</v>
          </cell>
          <cell r="G105">
            <v>387.22916076918648</v>
          </cell>
          <cell r="H105">
            <v>296.07135886289245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141.43646494174243</v>
          </cell>
          <cell r="F106">
            <v>162.01677293865094</v>
          </cell>
          <cell r="G106">
            <v>158.49246882834788</v>
          </cell>
          <cell r="H106">
            <v>113.20084392673149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5.88847323054725</v>
          </cell>
          <cell r="F107">
            <v>1.8838523326667</v>
          </cell>
          <cell r="G107">
            <v>3.8802355617351298</v>
          </cell>
          <cell r="H107">
            <v>4.7829386770683401E-2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3.1055704091171799</v>
          </cell>
          <cell r="G108">
            <v>3.726566416103851</v>
          </cell>
          <cell r="H108">
            <v>7.8315909230899892E-3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0.20753431178179499</v>
          </cell>
          <cell r="G109">
            <v>0.45230932635329602</v>
          </cell>
          <cell r="H109">
            <v>1.414863422235894E-2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0.38496293837481399</v>
          </cell>
          <cell r="G110">
            <v>0.65407807934547002</v>
          </cell>
          <cell r="H110">
            <v>3.7328529399021801E-2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2.5507105651720612</v>
          </cell>
          <cell r="F111">
            <v>5.0553019093407485</v>
          </cell>
          <cell r="G111">
            <v>3.9607967592563544</v>
          </cell>
          <cell r="H111">
            <v>3.7180504720302556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3.2601310840496202E-2</v>
          </cell>
          <cell r="G112">
            <v>6.6536969565303097E-2</v>
          </cell>
          <cell r="H112">
            <v>3.0146236350770218E-2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29.026716115673601</v>
          </cell>
          <cell r="F113">
            <v>20.483210323469301</v>
          </cell>
          <cell r="G113">
            <v>0.85506496382361696</v>
          </cell>
          <cell r="H113">
            <v>0.36886879476187701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7.8758017260258635</v>
          </cell>
          <cell r="F114">
            <v>19.319706839918503</v>
          </cell>
          <cell r="G114">
            <v>67.02440692353872</v>
          </cell>
          <cell r="H114">
            <v>58.411773174246413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4.2154000266483001E-3</v>
          </cell>
          <cell r="F115">
            <v>8.2744164300961209</v>
          </cell>
          <cell r="G115">
            <v>5.8854333316666994</v>
          </cell>
          <cell r="H115">
            <v>5.0410692915509312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5.7849252459188012</v>
          </cell>
          <cell r="F116">
            <v>82.522951586854902</v>
          </cell>
          <cell r="G116">
            <v>78.447837244217652</v>
          </cell>
          <cell r="H116">
            <v>63.079183031480177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0.19512465421411845</v>
          </cell>
          <cell r="F117">
            <v>39.946027433318356</v>
          </cell>
          <cell r="G117">
            <v>94.579730406588453</v>
          </cell>
          <cell r="H117">
            <v>80.581238116321757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4.9511879048838736</v>
          </cell>
          <cell r="F118">
            <v>10.765871482885698</v>
          </cell>
          <cell r="G118">
            <v>10.659353892153838</v>
          </cell>
          <cell r="H118">
            <v>9.2609936373240966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1.9522711923999618</v>
          </cell>
          <cell r="F119">
            <v>4.1191424159658796</v>
          </cell>
          <cell r="G119">
            <v>4.3534937391531878</v>
          </cell>
          <cell r="H119">
            <v>3.5541183038370336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2.5374087406296995</v>
          </cell>
          <cell r="F120">
            <v>6.2317848109691596</v>
          </cell>
          <cell r="G120">
            <v>6.367453345063204</v>
          </cell>
          <cell r="H120">
            <v>5.4492238230556902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75.893807173010103</v>
          </cell>
          <cell r="G121">
            <v>296.60628176182621</v>
          </cell>
          <cell r="H121">
            <v>477.9291488060793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384.86666634953951</v>
          </cell>
          <cell r="F122">
            <v>452.00256682669442</v>
          </cell>
          <cell r="G122">
            <v>352.43778071494603</v>
          </cell>
          <cell r="H122">
            <v>33.483649855798589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2.34960356224573E-3</v>
          </cell>
          <cell r="F123">
            <v>0.94459008152490198</v>
          </cell>
          <cell r="G123">
            <v>1.1562659635163846</v>
          </cell>
          <cell r="H123">
            <v>3.22613520307516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1.23236206896945E-2</v>
          </cell>
          <cell r="F124">
            <v>0.96494733154429602</v>
          </cell>
          <cell r="G124">
            <v>2.5520655455328871</v>
          </cell>
          <cell r="H124">
            <v>6.9513173000178803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2.9122601479595799E-2</v>
          </cell>
          <cell r="F125">
            <v>18.73742560744968</v>
          </cell>
          <cell r="G125">
            <v>90.663312028853795</v>
          </cell>
          <cell r="H125">
            <v>328.32024175676827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8.2264059703589307</v>
          </cell>
          <cell r="F126">
            <v>19.622518966648329</v>
          </cell>
          <cell r="G126">
            <v>23.215336732130648</v>
          </cell>
          <cell r="H126">
            <v>1.5296167805642929E-2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0.438876093241377</v>
          </cell>
          <cell r="F127">
            <v>6.1933312912671301</v>
          </cell>
          <cell r="G127">
            <v>10.04828492645834</v>
          </cell>
          <cell r="H127">
            <v>13.803036567078692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37.840426845118699</v>
          </cell>
          <cell r="F128">
            <v>27.87765377022966</v>
          </cell>
          <cell r="G128">
            <v>33.840131454701805</v>
          </cell>
          <cell r="H128">
            <v>2.7896746463353491E-2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10.82877213496381</v>
          </cell>
          <cell r="F129">
            <v>8.6158344628404659</v>
          </cell>
          <cell r="G129">
            <v>10.260819385504613</v>
          </cell>
          <cell r="H129">
            <v>1.184703320279433E-2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2.6204502934938647</v>
          </cell>
          <cell r="F130">
            <v>0.34860402859745165</v>
          </cell>
          <cell r="G130">
            <v>0.49593055514163686</v>
          </cell>
          <cell r="H130">
            <v>4.774615229047291E-2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0.13412595369375799</v>
          </cell>
          <cell r="G131">
            <v>0.28755034179832101</v>
          </cell>
          <cell r="H131">
            <v>2.9792238403456552E-2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8.2614091879356893E-2</v>
          </cell>
          <cell r="G132">
            <v>0.293757872770194</v>
          </cell>
          <cell r="H132">
            <v>3.5957981924027001E-2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0.44429367441163797</v>
          </cell>
          <cell r="F133">
            <v>0.441711829193707</v>
          </cell>
          <cell r="G133">
            <v>0.43407115383775102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0.12045274774294</v>
          </cell>
          <cell r="G134">
            <v>0.722664449632068</v>
          </cell>
          <cell r="H134">
            <v>6.6189740758268806E-2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2.8830232576250201E-2</v>
          </cell>
          <cell r="G135">
            <v>8.2350217687518407E-2</v>
          </cell>
          <cell r="H135">
            <v>5.6572224205277397E-2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15099.0356683437</v>
          </cell>
          <cell r="F136">
            <v>14308.2565138174</v>
          </cell>
          <cell r="G136">
            <v>12831.515767578599</v>
          </cell>
          <cell r="H136">
            <v>7798.0604555549799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9851.0963951663998</v>
          </cell>
          <cell r="G138">
            <v>10233.604862821499</v>
          </cell>
          <cell r="H138">
            <v>8055.6662239788302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330.02658735060299</v>
          </cell>
          <cell r="F139">
            <v>321.18270595241898</v>
          </cell>
          <cell r="G139">
            <v>11.9573925599205</v>
          </cell>
          <cell r="H139">
            <v>0.40629794383935502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328.63595314250398</v>
          </cell>
          <cell r="F141">
            <v>51.047710713935899</v>
          </cell>
          <cell r="G141">
            <v>21.034566130106199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696.84428324072303</v>
          </cell>
          <cell r="F142">
            <v>659.57888989984804</v>
          </cell>
          <cell r="G142">
            <v>657.33725117208303</v>
          </cell>
          <cell r="H142">
            <v>529.46975774415296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8934.8483903432807</v>
          </cell>
          <cell r="F145">
            <v>8259.86546306114</v>
          </cell>
          <cell r="G145">
            <v>6998.8545337887799</v>
          </cell>
          <cell r="H145">
            <v>4163.9431963346597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2093.6594329631698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44.153714761044498</v>
          </cell>
          <cell r="F147">
            <v>61.537609016576504</v>
          </cell>
          <cell r="G147">
            <v>18.111183183440499</v>
          </cell>
          <cell r="H147">
            <v>3.5747100357366399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15.3266526020894</v>
          </cell>
          <cell r="F148">
            <v>10.8603436332081</v>
          </cell>
          <cell r="G148">
            <v>14.877501349025</v>
          </cell>
          <cell r="H148">
            <v>3.4697702695636101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1537.95890866073</v>
          </cell>
          <cell r="F149">
            <v>1510.5078021797899</v>
          </cell>
          <cell r="G149">
            <v>1402.0948018409699</v>
          </cell>
          <cell r="H149">
            <v>1097.7432635274099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-1380.20430105986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2686.29232035222</v>
          </cell>
          <cell r="F151">
            <v>2605.0618149319198</v>
          </cell>
          <cell r="G151">
            <v>2636.0764012387099</v>
          </cell>
          <cell r="H151">
            <v>2157.9838635814299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213.79241210908199</v>
          </cell>
          <cell r="F152">
            <v>212.85628720739001</v>
          </cell>
          <cell r="G152">
            <v>3.7172709845761398</v>
          </cell>
          <cell r="H152">
            <v>0.355862195401279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2267.7920244305801</v>
          </cell>
          <cell r="F153">
            <v>1933.6967713973099</v>
          </cell>
          <cell r="G153">
            <v>1957.23968949714</v>
          </cell>
          <cell r="H153">
            <v>1160.40081782383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9.2728601039877496</v>
          </cell>
          <cell r="F154">
            <v>9.2711067197275501</v>
          </cell>
          <cell r="G154">
            <v>2.5001913696749498</v>
          </cell>
          <cell r="H154">
            <v>2.2053707618221001E-2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4514.5291404127502</v>
          </cell>
          <cell r="F156">
            <v>3846.57266256306</v>
          </cell>
          <cell r="G156">
            <v>3706.0219843080899</v>
          </cell>
          <cell r="H156">
            <v>1823.5811585651199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5712.4206332185204</v>
          </cell>
          <cell r="F157">
            <v>5582.94396286557</v>
          </cell>
          <cell r="G157">
            <v>5234.5709407476897</v>
          </cell>
          <cell r="H157">
            <v>3031.9167797288701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1068.1467514154299</v>
          </cell>
          <cell r="F160">
            <v>1114.5279192180899</v>
          </cell>
          <cell r="G160">
            <v>1024.64874575832</v>
          </cell>
          <cell r="H160">
            <v>1085.2835714412199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80.762820585747406</v>
          </cell>
          <cell r="F162">
            <v>102.218636272818</v>
          </cell>
          <cell r="G162">
            <v>133.09863280012999</v>
          </cell>
          <cell r="H162">
            <v>178.052048756803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2112.5202690565902</v>
          </cell>
          <cell r="F163">
            <v>1841.5167163055601</v>
          </cell>
          <cell r="G163">
            <v>1915.4340317082499</v>
          </cell>
          <cell r="H163">
            <v>1172.48043042719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2266.28862065257</v>
          </cell>
          <cell r="F165">
            <v>2237.5566307754402</v>
          </cell>
          <cell r="G165">
            <v>2312.7769545096098</v>
          </cell>
          <cell r="H165">
            <v>2351.3595117988698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44377.547070434397</v>
          </cell>
          <cell r="F166">
            <v>42322.912597754301</v>
          </cell>
          <cell r="G166">
            <v>40386.226406829199</v>
          </cell>
          <cell r="H166">
            <v>27529.164449763801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-6.7248429304571103E-2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6510.6771036570663</v>
          </cell>
          <cell r="F173">
            <v>6260.6756884573924</v>
          </cell>
          <cell r="G173">
            <v>5715.3641632444132</v>
          </cell>
          <cell r="H173">
            <v>4881.655352714979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7210.0943208689587</v>
          </cell>
          <cell r="F174">
            <v>6460.9055842147091</v>
          </cell>
          <cell r="G174">
            <v>6344.5985769164654</v>
          </cell>
          <cell r="H174">
            <v>3981.587075854176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14742.171597880031</v>
          </cell>
          <cell r="F175">
            <v>13954.386190048735</v>
          </cell>
          <cell r="G175">
            <v>12379.445577238592</v>
          </cell>
          <cell r="H175">
            <v>7374.7651235340018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2639.0782885561216</v>
          </cell>
          <cell r="F176">
            <v>2350.1419505059489</v>
          </cell>
          <cell r="G176">
            <v>2351.9227038231575</v>
          </cell>
          <cell r="H176">
            <v>2354.934221834606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3805.7509330913113</v>
          </cell>
          <cell r="F177">
            <v>3444.2045735770989</v>
          </cell>
          <cell r="G177">
            <v>3359.3344913381002</v>
          </cell>
          <cell r="H177">
            <v>2258.1440813512399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2639.0782885561216</v>
          </cell>
          <cell r="F178">
            <v>2350.1419505059489</v>
          </cell>
          <cell r="G178">
            <v>2351.9227038231575</v>
          </cell>
          <cell r="H178">
            <v>2354.934221834606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6510.6771036570663</v>
          </cell>
          <cell r="F180">
            <v>6260.6756884573924</v>
          </cell>
          <cell r="G180">
            <v>5715.3641632444132</v>
          </cell>
          <cell r="H180">
            <v>4881.5591929378006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44057.527636266655</v>
          </cell>
          <cell r="F181">
            <v>41081.131625767281</v>
          </cell>
          <cell r="G181">
            <v>38217.952379628303</v>
          </cell>
          <cell r="H181">
            <v>28087.579270061397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2093.6594329631707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2093.6594329631707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114.397693864744</v>
          </cell>
          <cell r="F190">
            <v>46.244403025856897</v>
          </cell>
          <cell r="G190">
            <v>4.7810800729652296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2843.2803045784799</v>
          </cell>
          <cell r="F191">
            <v>2577.4177359718101</v>
          </cell>
          <cell r="G191">
            <v>2455.9605391370601</v>
          </cell>
          <cell r="H191">
            <v>2685.2656880012801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226.173085210479</v>
          </cell>
          <cell r="F192">
            <v>4.7188143983917898</v>
          </cell>
          <cell r="G192">
            <v>19.625612238503098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1689.2969367266601</v>
          </cell>
          <cell r="F193">
            <v>1897.7118672435599</v>
          </cell>
          <cell r="G193">
            <v>2169.6101426713599</v>
          </cell>
          <cell r="H193">
            <v>2017.4754448460801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15.9002498251029</v>
          </cell>
          <cell r="F195">
            <v>15.8518754579821</v>
          </cell>
          <cell r="G195">
            <v>0.61970334703457797</v>
          </cell>
          <cell r="H195">
            <v>0.77011632089132298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17.485520058401502</v>
          </cell>
          <cell r="F196">
            <v>21.5414119086619</v>
          </cell>
          <cell r="G196">
            <v>9.9893658785399406</v>
          </cell>
          <cell r="H196">
            <v>1.30585304251482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10.030526384494101</v>
          </cell>
          <cell r="F198">
            <v>23.123564367005699</v>
          </cell>
          <cell r="G198">
            <v>7.2147431585767601</v>
          </cell>
          <cell r="H198">
            <v>1.44625881774772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4916.5643166483596</v>
          </cell>
          <cell r="F199">
            <v>4586.6096723732599</v>
          </cell>
          <cell r="G199">
            <v>4667.8011865040398</v>
          </cell>
          <cell r="H199">
            <v>4706.2633610285102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118.503969228359</v>
          </cell>
          <cell r="F200">
            <v>34.810973595745502</v>
          </cell>
          <cell r="G200">
            <v>76.192413256433497</v>
          </cell>
          <cell r="H200">
            <v>8.3480155086220904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2005.1599254799301</v>
          </cell>
          <cell r="F201">
            <v>1800.94870508901</v>
          </cell>
          <cell r="G201">
            <v>1964.4628184943299</v>
          </cell>
          <cell r="H201">
            <v>1293.1071691124801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655.78752653143204</v>
          </cell>
          <cell r="F203">
            <v>598.58263948154399</v>
          </cell>
          <cell r="G203">
            <v>608.56463794788601</v>
          </cell>
          <cell r="H203">
            <v>492.66271310107697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330.02658735060299</v>
          </cell>
          <cell r="F206">
            <v>321.18270595241898</v>
          </cell>
          <cell r="G206">
            <v>11.9573925599205</v>
          </cell>
          <cell r="H206">
            <v>0.40629794383935502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29.418645080039699</v>
          </cell>
          <cell r="F207">
            <v>50.022835126882399</v>
          </cell>
          <cell r="G207">
            <v>37.906287041091304</v>
          </cell>
          <cell r="H207">
            <v>45.336099318277398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723.66722230330799</v>
          </cell>
          <cell r="F208">
            <v>749.91024208869499</v>
          </cell>
          <cell r="G208">
            <v>1005.70132861447</v>
          </cell>
          <cell r="H208">
            <v>1063.72798290794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2.1756984185718902</v>
          </cell>
          <cell r="H209">
            <v>0.76938328260584998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344.47952911212599</v>
          </cell>
          <cell r="F210">
            <v>364.70545803169802</v>
          </cell>
          <cell r="G210">
            <v>19.054924548214</v>
          </cell>
          <cell r="H210">
            <v>21.666003763362099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210.22182967416401</v>
          </cell>
          <cell r="F211">
            <v>209.30133914928601</v>
          </cell>
          <cell r="G211">
            <v>3.6551882270431699</v>
          </cell>
          <cell r="H211">
            <v>0.34991888201790899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4417.2652347599596</v>
          </cell>
          <cell r="F212">
            <v>4129.4648985152799</v>
          </cell>
          <cell r="G212">
            <v>3729.6706891079598</v>
          </cell>
          <cell r="H212">
            <v>2926.3735838202301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8.3647918781319503E-6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5.7835593225210102E-5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1.4756301969204599E-5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4.4949139189688999E-4</v>
          </cell>
          <cell r="F8">
            <v>8.7722318818523392E-6</v>
          </cell>
          <cell r="G8">
            <v>9.5199081937090492E-6</v>
          </cell>
          <cell r="H8">
            <v>1.2417769444107199E-5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4.2345694322355604E-3</v>
          </cell>
          <cell r="F10">
            <v>2.8718115930272198E-2</v>
          </cell>
          <cell r="G10">
            <v>1.7068234364491501E-5</v>
          </cell>
          <cell r="H10">
            <v>9.3584151915205499E-2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7.6060722503612102E-6</v>
          </cell>
          <cell r="F11">
            <v>8.0579358562703196E-6</v>
          </cell>
          <cell r="G11">
            <v>9.6933452287769606E-6</v>
          </cell>
          <cell r="H11">
            <v>1.1908693586425899E-5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1.55135122727915E-2</v>
          </cell>
          <cell r="F12">
            <v>9.2654934134051806E-2</v>
          </cell>
          <cell r="G12">
            <v>1.7814719694600799E-5</v>
          </cell>
          <cell r="H12">
            <v>1.92791468681406E-3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8.8734436889197196E-4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G14">
            <v>4.0881154114224397E-5</v>
          </cell>
          <cell r="H14">
            <v>0.196515539351971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3.2050705670831E-5</v>
          </cell>
          <cell r="F15">
            <v>3.5470059228738299E-6</v>
          </cell>
          <cell r="G15">
            <v>4.1024593838111601E-6</v>
          </cell>
          <cell r="H15">
            <v>4.7589460780098196E-6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1.42287845650044E-4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4.2022697970547602E-5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5.1833855917472101E-5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2.2482027123936501E-4</v>
          </cell>
          <cell r="F19">
            <v>4.6381222786838498E-6</v>
          </cell>
          <cell r="G19">
            <v>7.6925504290318894E-6</v>
          </cell>
          <cell r="H19">
            <v>1.06650827800905E-5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6.8337729709203501E-2</v>
          </cell>
          <cell r="F20">
            <v>9.4216443464120697E-2</v>
          </cell>
          <cell r="G20">
            <v>3.9088497292194297E-5</v>
          </cell>
          <cell r="H20">
            <v>3.8923052237943097E-5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1.4108689698768901E-5</v>
          </cell>
          <cell r="F21">
            <v>2.00863194670824E-6</v>
          </cell>
          <cell r="G21">
            <v>2.4428176174718799E-6</v>
          </cell>
          <cell r="H21">
            <v>2.0258802884127202E-6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1.6210554757487498E-5</v>
          </cell>
          <cell r="F22">
            <v>6.2400521432721696E-4</v>
          </cell>
          <cell r="G22">
            <v>2.9688482860222198E-5</v>
          </cell>
          <cell r="H22">
            <v>1.06869260853491E-5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E25">
            <v>2.6353821030730001E-3</v>
          </cell>
          <cell r="F25">
            <v>6.5646331272761299E-5</v>
          </cell>
          <cell r="G25">
            <v>1.3748325669458501E-4</v>
          </cell>
          <cell r="H25">
            <v>3.8335980500460898E-3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E26">
            <v>1.5317256403648201E-5</v>
          </cell>
          <cell r="F26">
            <v>4.8524294647227398E-6</v>
          </cell>
          <cell r="G26">
            <v>2.0768275224184099E-5</v>
          </cell>
          <cell r="H26">
            <v>7.6793403797711493E-6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E27">
            <v>0.164056371354176</v>
          </cell>
          <cell r="F27">
            <v>4.1231146890597301E-2</v>
          </cell>
          <cell r="G27">
            <v>2.6291447664021801E-5</v>
          </cell>
          <cell r="H27">
            <v>2.9887101404790401E-5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H28">
            <v>7.66403628444295E-4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E29">
            <v>5.7310982874705603E-2</v>
          </cell>
          <cell r="F29">
            <v>9.8684992321100103E-6</v>
          </cell>
          <cell r="G29">
            <v>3.5562804649126702E-3</v>
          </cell>
          <cell r="H29">
            <v>1.5126942843208599E-2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E30">
            <v>5.5158831164173697E-5</v>
          </cell>
          <cell r="F30">
            <v>1.23665487383722E-5</v>
          </cell>
          <cell r="G30">
            <v>1.49201713848045E-5</v>
          </cell>
          <cell r="H30">
            <v>1.96324156417171E-5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H31">
            <v>3.63733123604139E-5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H33">
            <v>8.3647918781319503E-6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H35">
            <v>5.7835593225210102E-5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H36">
            <v>1.4756301969204599E-5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E37">
            <v>1.027961485932877</v>
          </cell>
          <cell r="F37">
            <v>1.0279702581647587</v>
          </cell>
          <cell r="G37">
            <v>1.0279797780729525</v>
          </cell>
          <cell r="H37">
            <v>1.0279921958423965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E39">
            <v>0.21279699567428934</v>
          </cell>
          <cell r="F39">
            <v>0.24150485329446542</v>
          </cell>
          <cell r="G39">
            <v>0.24147065447397506</v>
          </cell>
          <cell r="H39">
            <v>0.26147671468051759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E40">
            <v>7.6060722503612102E-6</v>
          </cell>
          <cell r="F40">
            <v>1.56640081066315E-5</v>
          </cell>
          <cell r="G40">
            <v>2.53573533354085E-5</v>
          </cell>
          <cell r="H40">
            <v>3.7266046921834397E-5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E41">
            <v>4.352469906735415E-2</v>
          </cell>
          <cell r="F41">
            <v>0.13617636338315181</v>
          </cell>
          <cell r="G41">
            <v>0.13616944382452406</v>
          </cell>
          <cell r="H41">
            <v>0.13322674348498703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H42">
            <v>8.8734436889197196E-4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H43">
            <v>5.2754227969384899E-2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E44">
            <v>0.95964974378731482</v>
          </cell>
          <cell r="F44">
            <v>0.95965329079323769</v>
          </cell>
          <cell r="G44">
            <v>0.95965739325262156</v>
          </cell>
          <cell r="H44">
            <v>0.95966215219869955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H45">
            <v>1.42287845650044E-4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H46">
            <v>4.2022697970547602E-5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H47">
            <v>5.1833855917472101E-5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E48">
            <v>2.2352770218963793</v>
          </cell>
          <cell r="F48">
            <v>2.235281660018658</v>
          </cell>
          <cell r="G48">
            <v>2.2352893525690871</v>
          </cell>
          <cell r="H48">
            <v>2.2353000176518671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E49">
            <v>6.8337729709203501E-2</v>
          </cell>
          <cell r="F49">
            <v>0.16254882538797885</v>
          </cell>
          <cell r="G49">
            <v>0.16256342554111533</v>
          </cell>
          <cell r="H49">
            <v>0.16256341209374639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E50">
            <v>3.0972541160856188</v>
          </cell>
          <cell r="F50">
            <v>3.0972561247175654</v>
          </cell>
          <cell r="G50">
            <v>3.0972585675351829</v>
          </cell>
          <cell r="H50">
            <v>3.0972605934154713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E51">
            <v>1.6210554757487498E-5</v>
          </cell>
          <cell r="F51">
            <v>6.3860374680141071E-4</v>
          </cell>
          <cell r="G51">
            <v>6.6402033593582742E-4</v>
          </cell>
          <cell r="H51">
            <v>6.7125995242248832E-4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E54">
            <v>2.6353821030730001E-3</v>
          </cell>
          <cell r="F54">
            <v>2.6969516592278784E-3</v>
          </cell>
          <cell r="G54">
            <v>2.8243651003021578E-3</v>
          </cell>
          <cell r="H54">
            <v>6.6399646229177633E-3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E55">
            <v>6.2414620691383371E-2</v>
          </cell>
          <cell r="F55">
            <v>6.2409584697077226E-2</v>
          </cell>
          <cell r="G55">
            <v>6.2309309925621462E-2</v>
          </cell>
          <cell r="H55">
            <v>1.5724493680443277E-3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E56">
            <v>0.36634906655500521</v>
          </cell>
          <cell r="F56">
            <v>0.40757188095441188</v>
          </cell>
          <cell r="G56">
            <v>0.12668917879899505</v>
          </cell>
          <cell r="H56">
            <v>0.12559257919378103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H57">
            <v>7.66403628444295E-4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E58">
            <v>5.9347347707705007E-2</v>
          </cell>
          <cell r="F58">
            <v>5.9351820895005694E-2</v>
          </cell>
          <cell r="G58">
            <v>6.2905050650972183E-2</v>
          </cell>
          <cell r="H58">
            <v>7.6909181841653365E-2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E59">
            <v>1.9845385290972641</v>
          </cell>
          <cell r="F59">
            <v>1.9845508956460025</v>
          </cell>
          <cell r="G59">
            <v>1.9845658158173873</v>
          </cell>
          <cell r="H59">
            <v>1.984585448233029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H60">
            <v>3.63733123604139E-5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E65">
            <v>0.11258923660105545</v>
          </cell>
          <cell r="F65">
            <v>0.12784581924871477</v>
          </cell>
          <cell r="G65">
            <v>0.11842126328064324</v>
          </cell>
          <cell r="H65">
            <v>0.13842302649489827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H66">
            <v>0.34130473341300771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F67">
            <v>1.8328472478563364E-4</v>
          </cell>
          <cell r="G67">
            <v>8.2850718410027737E-5</v>
          </cell>
          <cell r="H67">
            <v>2.7061888861310462E-4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E68">
            <v>2.473170227297925</v>
          </cell>
          <cell r="F68">
            <v>0.66636253521373456</v>
          </cell>
          <cell r="G68">
            <v>2.6356141308874887</v>
          </cell>
          <cell r="H68">
            <v>3.3820865877947677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H72">
            <v>8.9002583468709602E-3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E74">
            <v>9.6794575123593152</v>
          </cell>
          <cell r="F74">
            <v>10.991087717696651</v>
          </cell>
          <cell r="G74">
            <v>10.180845177470154</v>
          </cell>
          <cell r="H74">
            <v>11.900425334947096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E76">
            <v>9.6794575123593152</v>
          </cell>
          <cell r="F76">
            <v>10.991087717696651</v>
          </cell>
          <cell r="G76">
            <v>10.180845177470154</v>
          </cell>
          <cell r="H76">
            <v>11.900425334947096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H78">
            <v>4.1564196226639268E-2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  <cell r="E79">
            <v>5.8268786018174561</v>
          </cell>
          <cell r="F79">
            <v>0.90510125379318973</v>
          </cell>
          <cell r="G79">
            <v>0.37295330017918826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E80">
            <v>0.27174915961151475</v>
          </cell>
          <cell r="F80">
            <v>0.19255928427673985</v>
          </cell>
          <cell r="G80">
            <v>0.26378548491179105</v>
          </cell>
          <cell r="H80">
            <v>6.152074946034769E-2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E81">
            <v>27.26877497625409</v>
          </cell>
          <cell r="F81">
            <v>26.782053230138036</v>
          </cell>
          <cell r="G81">
            <v>24.85983691207387</v>
          </cell>
          <cell r="H81">
            <v>19.46353304126616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E82">
            <v>47.629296460145738</v>
          </cell>
          <cell r="F82">
            <v>46.18903927184266</v>
          </cell>
          <cell r="G82">
            <v>46.738943284374216</v>
          </cell>
          <cell r="H82">
            <v>38.262125240805588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E83">
            <v>37.456033139301184</v>
          </cell>
          <cell r="F83">
            <v>32.651005608254586</v>
          </cell>
          <cell r="G83">
            <v>33.961596306883877</v>
          </cell>
          <cell r="H83">
            <v>20.788660113957238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  <cell r="E84">
            <v>328.63595314250398</v>
          </cell>
          <cell r="F84">
            <v>51.047710713935899</v>
          </cell>
          <cell r="G84">
            <v>21.034566130106199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E85">
            <v>696.84428324072303</v>
          </cell>
          <cell r="F85">
            <v>659.57888989984804</v>
          </cell>
          <cell r="G85">
            <v>657.33725117208303</v>
          </cell>
          <cell r="H85">
            <v>529.46975774415296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E86">
            <v>15.3266526020894</v>
          </cell>
          <cell r="F86">
            <v>10.8603436332081</v>
          </cell>
          <cell r="G86">
            <v>14.877501349025</v>
          </cell>
          <cell r="H86">
            <v>3.4697702695636101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E87">
            <v>1537.95890866073</v>
          </cell>
          <cell r="F87">
            <v>1510.5078021797899</v>
          </cell>
          <cell r="G87">
            <v>1402.0948018409699</v>
          </cell>
          <cell r="H87">
            <v>1097.7432635274099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E88">
            <v>2686.29232035222</v>
          </cell>
          <cell r="F88">
            <v>2605.0618149319198</v>
          </cell>
          <cell r="G88">
            <v>2636.0764012387099</v>
          </cell>
          <cell r="H88">
            <v>2157.9838635814299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E89">
            <v>2267.7920244305801</v>
          </cell>
          <cell r="F89">
            <v>1933.6967713973099</v>
          </cell>
          <cell r="G89">
            <v>1957.23968949714</v>
          </cell>
          <cell r="H89">
            <v>1160.40081782383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E90">
            <v>4514.5291404127502</v>
          </cell>
          <cell r="F90">
            <v>3846.57266256306</v>
          </cell>
          <cell r="G90">
            <v>3706.0219843080899</v>
          </cell>
          <cell r="H90">
            <v>1823.5811585651199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E91">
            <v>5712.4206332185204</v>
          </cell>
          <cell r="F91">
            <v>5582.94396286557</v>
          </cell>
          <cell r="G91">
            <v>5234.5709407476897</v>
          </cell>
          <cell r="H91">
            <v>3031.9167797288701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E93">
            <v>2112.5202690565902</v>
          </cell>
          <cell r="F93">
            <v>1841.5167163055601</v>
          </cell>
          <cell r="G93">
            <v>1915.4340317082499</v>
          </cell>
          <cell r="H93">
            <v>1172.48043042719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E95">
            <v>6.0384889906954458</v>
          </cell>
          <cell r="F95">
            <v>0.90360314582001289</v>
          </cell>
          <cell r="G95">
            <v>0.43274277147993545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E96">
            <v>9.2972343502235013</v>
          </cell>
          <cell r="F96">
            <v>8.800042791971638</v>
          </cell>
          <cell r="G96">
            <v>8.7710485782458143</v>
          </cell>
          <cell r="H96">
            <v>7.2996031348107948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E101">
            <v>2.9709603938165858</v>
          </cell>
          <cell r="F101">
            <v>2.9721740015845719</v>
          </cell>
          <cell r="G101">
            <v>4.4006224837199213</v>
          </cell>
          <cell r="H101">
            <v>2.9658931852739499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H105">
            <v>6.37438660137563E-3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H106">
            <v>1.3121917355214154E-4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H107">
            <v>1.3121917355214154E-4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E108">
            <v>1.176538351110521</v>
          </cell>
          <cell r="F108">
            <v>4.0703958725878522</v>
          </cell>
          <cell r="G108">
            <v>4.0703871199199924</v>
          </cell>
          <cell r="H108">
            <v>4.0711611860050017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E109">
            <v>0.23090106408996414</v>
          </cell>
          <cell r="F109">
            <v>1.8160741708219189E-3</v>
          </cell>
          <cell r="G109">
            <v>6.1171919835109959E-2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E111">
            <v>2.3790307969536788E-2</v>
          </cell>
          <cell r="F111">
            <v>2.0808875239340906E-2</v>
          </cell>
          <cell r="G111">
            <v>2.7220217970123292E-2</v>
          </cell>
          <cell r="H111">
            <v>1.2361840836107522E-2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E112">
            <v>0.30033181946995979</v>
          </cell>
          <cell r="F112">
            <v>1.7974186171672832</v>
          </cell>
          <cell r="G112">
            <v>0.73520222141499658</v>
          </cell>
          <cell r="H112">
            <v>0.72140289686061543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E113">
            <v>0.30400857413150201</v>
          </cell>
          <cell r="F113">
            <v>2.2488915927357054</v>
          </cell>
          <cell r="G113">
            <v>0.87304549805444343</v>
          </cell>
          <cell r="H113">
            <v>0.96348454954207119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E114">
            <v>0.31787099163468469</v>
          </cell>
          <cell r="F114">
            <v>3.424517107988538E-3</v>
          </cell>
          <cell r="G114">
            <v>2.3752694965447527</v>
          </cell>
          <cell r="H114">
            <v>2.3755356612297041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E115">
            <v>9.455146312628532</v>
          </cell>
          <cell r="F115">
            <v>8.9495100393466611</v>
          </cell>
          <cell r="G115">
            <v>8.9190943171246015</v>
          </cell>
          <cell r="H115">
            <v>7.1841215433399217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E116">
            <v>30.770583777891158</v>
          </cell>
          <cell r="F116">
            <v>26.237405310682689</v>
          </cell>
          <cell r="G116">
            <v>26.556847890056115</v>
          </cell>
          <cell r="H116">
            <v>15.744922901273103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E117">
            <v>61.25548358768993</v>
          </cell>
          <cell r="F117">
            <v>52.192302070055007</v>
          </cell>
          <cell r="G117">
            <v>50.285237236201965</v>
          </cell>
          <cell r="H117">
            <v>24.743299302104791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E118">
            <v>3.7982918878914633</v>
          </cell>
          <cell r="F118">
            <v>12.540359083790694</v>
          </cell>
          <cell r="G118">
            <v>12.540421416964007</v>
          </cell>
          <cell r="H118">
            <v>12.540431121177249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E119">
            <v>0.29459975544247907</v>
          </cell>
          <cell r="F119">
            <v>0.21484073599650791</v>
          </cell>
          <cell r="G119">
            <v>0.29195931596873653</v>
          </cell>
          <cell r="H119">
            <v>7.4326327389226982E-2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E120">
            <v>10.646030462301285</v>
          </cell>
          <cell r="F120">
            <v>12.436290031770413</v>
          </cell>
          <cell r="G120">
            <v>8.9490637589908157</v>
          </cell>
          <cell r="H120">
            <v>6.9407741015686106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E122">
            <v>77.404073620847043</v>
          </cell>
          <cell r="F122">
            <v>75.649647193300396</v>
          </cell>
          <cell r="G122">
            <v>70.929145538586567</v>
          </cell>
          <cell r="H122">
            <v>41.082883194158065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E123">
            <v>0.43687091603376721</v>
          </cell>
          <cell r="F123">
            <v>0.55213811081003705</v>
          </cell>
          <cell r="G123">
            <v>1.6042881164276321</v>
          </cell>
          <cell r="H123">
            <v>3.1475976994673842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E124">
            <v>27.481314450275502</v>
          </cell>
          <cell r="F124">
            <v>28.488462048411687</v>
          </cell>
          <cell r="G124">
            <v>25.513533100884118</v>
          </cell>
          <cell r="H124">
            <v>20.120063683144217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1.4743778318522348E-4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6.1220145371705041E-4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H127">
            <v>1.3387508710156147E-4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H128">
            <v>1.4302647496446065E-4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H129">
            <v>1.8786210846580525E-4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1.5055723523069831E-4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6.0610023901718423E-4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H133">
            <v>1.7889991376385565E-4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H134">
            <v>1.4955773597960729E-4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H135">
            <v>1.2708535404302144E-4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H137">
            <v>8.9002583468709602E-3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E140">
            <v>5.0244558197298922E-3</v>
          </cell>
          <cell r="F140">
            <v>2.0506674049789439E-2</v>
          </cell>
          <cell r="G140">
            <v>2.1291578446892351E-2</v>
          </cell>
          <cell r="H140">
            <v>9.0276552669671578E-2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H141">
            <v>1.2990698181662011E-4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1.4743778318522348E-4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H143">
            <v>6.1220145371705041E-4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H144">
            <v>1.3387508710156147E-4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H145">
            <v>1.4302647496446065E-4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H146">
            <v>1.8786210846580525E-4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F149">
            <v>2.1578738839249396E-3</v>
          </cell>
          <cell r="G149">
            <v>1.8849027709331799E-3</v>
          </cell>
          <cell r="H149">
            <v>1.9525443601306315E-3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H151">
            <v>3.5588837948649373E-2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H152">
            <v>4.232757097861288E-2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H155">
            <v>1.5055723523069831E-4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H156">
            <v>6.0610023901718423E-4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H157">
            <v>1.7889991376385565E-4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H158">
            <v>1.4955773597960729E-4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H159">
            <v>1.2708535404302144E-4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E160">
            <v>47.78066398916684</v>
          </cell>
          <cell r="F160">
            <v>48.283682865512411</v>
          </cell>
          <cell r="G160">
            <v>47.460370951729558</v>
          </cell>
          <cell r="H160">
            <v>39.099934607424856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E161">
            <v>10.646030462301285</v>
          </cell>
          <cell r="F161">
            <v>12.436290031770413</v>
          </cell>
          <cell r="G161">
            <v>8.9490637589908157</v>
          </cell>
          <cell r="H161">
            <v>6.9407741015686106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H162">
            <v>1.483376391145161E-2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F163">
            <v>6.1858594615151257E-3</v>
          </cell>
          <cell r="G163">
            <v>2.7962117463384306E-3</v>
          </cell>
          <cell r="H163">
            <v>9.1333874906922713E-3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E164">
            <v>0.39666506342095031</v>
          </cell>
          <cell r="F164">
            <v>3.4275574377838676</v>
          </cell>
          <cell r="G164">
            <v>3.4229528974398034</v>
          </cell>
          <cell r="H164">
            <v>5.7147386060586461E-2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E165">
            <v>7.1192584232116349</v>
          </cell>
          <cell r="F165">
            <v>8.2975348699465012</v>
          </cell>
          <cell r="G165">
            <v>2.3092599269542635</v>
          </cell>
          <cell r="H165">
            <v>2.7099861417669389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E166">
            <v>3.1301069756686961</v>
          </cell>
          <cell r="F166">
            <v>0.70501186457851961</v>
          </cell>
          <cell r="G166">
            <v>3.2140547228504026</v>
          </cell>
          <cell r="H166">
            <v>4.1507224626111485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E168">
            <v>2.8760887320951913</v>
          </cell>
          <cell r="F168">
            <v>1.8147572347056704</v>
          </cell>
          <cell r="G168">
            <v>3.2885273479649721</v>
          </cell>
          <cell r="H168">
            <v>3.3872223381656861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E169">
            <v>0.13920514596278311</v>
          </cell>
          <cell r="F169">
            <v>1.2028627611103246</v>
          </cell>
          <cell r="G169">
            <v>1.2012468494261463</v>
          </cell>
          <cell r="H169">
            <v>2.0055232869130191E-2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G170">
            <v>1.03544304550713E-3</v>
          </cell>
          <cell r="H170">
            <v>0.23949978993615362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G171">
            <v>9.5317539077009793E-4</v>
          </cell>
          <cell r="H171">
            <v>7.4854263886987692E-3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G172">
            <v>9.5434524827599904E-4</v>
          </cell>
          <cell r="H172">
            <v>7.5287058467960605E-3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E173">
            <v>3.0152938780579746</v>
          </cell>
          <cell r="F173">
            <v>3.0176199958159944</v>
          </cell>
          <cell r="G173">
            <v>4.4869528449122704</v>
          </cell>
          <cell r="H173">
            <v>3.1529000612231211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E175">
            <v>5.6294618300527715</v>
          </cell>
          <cell r="F175">
            <v>6.3922909624357347</v>
          </cell>
          <cell r="G175">
            <v>5.9210631640321649</v>
          </cell>
          <cell r="H175">
            <v>6.9211513247449021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H176">
            <v>6.37438660137563E-3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E177">
            <v>1.3280740866753387</v>
          </cell>
          <cell r="F177">
            <v>4.3847409383883615</v>
          </cell>
          <cell r="G177">
            <v>4.3847627332042052</v>
          </cell>
          <cell r="H177">
            <v>4.3847661262857534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F178">
            <v>4.5821181196408333E-3</v>
          </cell>
          <cell r="G178">
            <v>2.0712679602506927E-3</v>
          </cell>
          <cell r="H178">
            <v>6.7654722153275993E-3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E179">
            <v>0.43687091603376721</v>
          </cell>
          <cell r="F179">
            <v>0.55213811081003705</v>
          </cell>
          <cell r="G179">
            <v>1.6042881164276321</v>
          </cell>
          <cell r="H179">
            <v>3.1475976994673842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E180">
            <v>1.1840860449880417</v>
          </cell>
          <cell r="F180">
            <v>1.1840191929471144</v>
          </cell>
          <cell r="G180">
            <v>1.1840291827246885</v>
          </cell>
          <cell r="H180">
            <v>1.1840199951870698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E181">
            <v>1.2891444077490366</v>
          </cell>
          <cell r="F181">
            <v>4.4599719775547415</v>
          </cell>
          <cell r="G181">
            <v>4.4599623871722374</v>
          </cell>
          <cell r="H181">
            <v>4.4608105388400263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E182">
            <v>4.0479078015955148</v>
          </cell>
          <cell r="F182">
            <v>4.5874623138564417</v>
          </cell>
          <cell r="G182">
            <v>3.0613866770378437</v>
          </cell>
          <cell r="H182">
            <v>3.0405769708236456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H183">
            <v>5.0110853059788303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E184">
            <v>1.1840860449880417</v>
          </cell>
          <cell r="F184">
            <v>1.1840191929471144</v>
          </cell>
          <cell r="G184">
            <v>1.1840291827246885</v>
          </cell>
          <cell r="H184">
            <v>1.1840199951870698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E185">
            <v>5.9801770754977683</v>
          </cell>
          <cell r="F185">
            <v>6.9699292907550641</v>
          </cell>
          <cell r="G185">
            <v>1.9397783386415819</v>
          </cell>
          <cell r="H185">
            <v>2.276388359084228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E186">
            <v>30.256679168903222</v>
          </cell>
          <cell r="F186">
            <v>25.799210065042509</v>
          </cell>
          <cell r="G186">
            <v>26.114252197428314</v>
          </cell>
          <cell r="H186">
            <v>15.489299762393747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E187">
            <v>2.9848618205759734</v>
          </cell>
          <cell r="F187">
            <v>4.0443988278181138</v>
          </cell>
          <cell r="G187">
            <v>2.570739257428853</v>
          </cell>
          <cell r="H187">
            <v>1.9550049530579647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E188">
            <v>1.4976588400328694</v>
          </cell>
          <cell r="F188">
            <v>0.33732625099450675</v>
          </cell>
          <cell r="G188">
            <v>1.5378252262442138</v>
          </cell>
          <cell r="H188">
            <v>1.985991608904857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E189">
            <v>4.4825206606088379</v>
          </cell>
          <cell r="F189">
            <v>4.3817250788126199</v>
          </cell>
          <cell r="G189">
            <v>4.1085644836730637</v>
          </cell>
          <cell r="H189">
            <v>3.9409965619628196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E190">
            <v>80.683179246270697</v>
          </cell>
          <cell r="F190">
            <v>78.855240602993035</v>
          </cell>
          <cell r="G190">
            <v>73.934947977087589</v>
          </cell>
          <cell r="H190">
            <v>44.362179186219919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E191">
            <v>60.232445624916004</v>
          </cell>
          <cell r="F191">
            <v>51.320629800815738</v>
          </cell>
          <cell r="G191">
            <v>49.44635418167627</v>
          </cell>
          <cell r="H191">
            <v>24.33745865641847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H192">
            <v>1.7978556816269057E-4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H193">
            <v>1.7975229253718033E-4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E194">
            <v>1.2891444077490366</v>
          </cell>
          <cell r="F194">
            <v>4.4599719775547415</v>
          </cell>
          <cell r="G194">
            <v>4.4599623871722374</v>
          </cell>
          <cell r="H194">
            <v>4.4608105388400263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E195">
            <v>1.2891444077490366</v>
          </cell>
          <cell r="F195">
            <v>4.4599719775547415</v>
          </cell>
          <cell r="G195">
            <v>4.4599623871722374</v>
          </cell>
          <cell r="H195">
            <v>4.4608105388400263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H196">
            <v>3.5615311531140288E-2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H197">
            <v>4.2346506482894543E-2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F198">
            <v>5.4985417435690089E-4</v>
          </cell>
          <cell r="G198">
            <v>2.4855215523008283E-4</v>
          </cell>
          <cell r="H198">
            <v>8.1185666583931209E-4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E199">
            <v>5.429000692548535E-2</v>
          </cell>
          <cell r="F199">
            <v>0.46911647683302599</v>
          </cell>
          <cell r="G199">
            <v>0.46848627127619663</v>
          </cell>
          <cell r="H199">
            <v>7.8215408189607639E-3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H201">
            <v>4.1564196226639268E-2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H204">
            <v>0.34130473341300771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H205">
            <v>1.7978556816269057E-4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E206">
            <v>3.18368798889021E-5</v>
          </cell>
          <cell r="F206">
            <v>1.16612611637865E-3</v>
          </cell>
          <cell r="G206">
            <v>2.0389632265815898E-2</v>
          </cell>
          <cell r="H206">
            <v>0.14069932564142101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H207">
            <v>5.0110853059788303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H208">
            <v>5.0110853059788303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E209">
            <v>2.473170227297925</v>
          </cell>
          <cell r="F209">
            <v>0.66636253521373456</v>
          </cell>
          <cell r="G209">
            <v>2.6356141308874887</v>
          </cell>
          <cell r="H209">
            <v>3.3820865877947677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E212">
            <v>7.3349719996056804E-3</v>
          </cell>
          <cell r="F212">
            <v>2.9548521685575584E-2</v>
          </cell>
          <cell r="G212">
            <v>3.0094103811861984E-2</v>
          </cell>
          <cell r="H212">
            <v>0.12366651050639943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E213">
            <v>9.6747576444134228E-3</v>
          </cell>
          <cell r="F213">
            <v>8.3598961897167479E-2</v>
          </cell>
          <cell r="G213">
            <v>8.3486656035117041E-2</v>
          </cell>
          <cell r="H213">
            <v>1.3938386844045481E-3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E214">
            <v>2.4561604976539053</v>
          </cell>
          <cell r="F214">
            <v>0.55321505163099161</v>
          </cell>
          <cell r="G214">
            <v>2.5220333710405085</v>
          </cell>
          <cell r="H214">
            <v>3.2570262386039661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E216">
            <v>4.0479078015955148</v>
          </cell>
          <cell r="F216">
            <v>4.5874623138564417</v>
          </cell>
          <cell r="G216">
            <v>3.0613866770378437</v>
          </cell>
          <cell r="H216">
            <v>3.0405769708236456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E217">
            <v>37.653615154402253</v>
          </cell>
          <cell r="F217">
            <v>32.548930473134021</v>
          </cell>
          <cell r="G217">
            <v>36.221152998557265</v>
          </cell>
          <cell r="H217">
            <v>23.088687101288528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E219">
            <v>9.6794575123593152</v>
          </cell>
          <cell r="F219">
            <v>10.991087717696651</v>
          </cell>
          <cell r="G219">
            <v>10.180845177470154</v>
          </cell>
          <cell r="H219">
            <v>11.900425334947096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H220">
            <v>0.34130473341300799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H221">
            <v>1.7978556816269001E-4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1.8024761143534799E-2</v>
          </cell>
          <cell r="E4">
            <v>1.8420303747621301E-2</v>
          </cell>
          <cell r="F4">
            <v>1.85468073786847E-2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4.4642222229811374E-3</v>
          </cell>
          <cell r="E5">
            <v>3.653685563001728E-3</v>
          </cell>
          <cell r="F5">
            <v>2.3066668016693188E-3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3.1958796353785218E-4</v>
          </cell>
          <cell r="E6">
            <v>3.2660113027697339E-4</v>
          </cell>
          <cell r="F6">
            <v>3.2884410245894943E-4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4.1662644241284291E-5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3.4042172393417203</v>
          </cell>
          <cell r="E8">
            <v>1.9862194594751681</v>
          </cell>
          <cell r="F8">
            <v>2.4323184082919402</v>
          </cell>
          <cell r="G8">
            <v>2.3666620365021656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6.2304209406257123E-3</v>
          </cell>
          <cell r="E9">
            <v>3.645189516297899E-3</v>
          </cell>
          <cell r="F9">
            <v>4.5115485211031144E-3</v>
          </cell>
          <cell r="G9">
            <v>4.6101467415647877E-3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6.0358461690455945E-2</v>
          </cell>
          <cell r="E10">
            <v>3.5216657082892962E-2</v>
          </cell>
          <cell r="F10">
            <v>4.3126212912977586E-2</v>
          </cell>
          <cell r="G10">
            <v>4.1962092845783096E-2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7.8394275018420104E-6</v>
          </cell>
          <cell r="F11">
            <v>2.41513183190115E-5</v>
          </cell>
          <cell r="G11">
            <v>6.09010372527935E-5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1.2121660906568509E-4</v>
          </cell>
          <cell r="E12">
            <v>8.6472780131976334E-5</v>
          </cell>
          <cell r="F12">
            <v>8.6836159198574699E-5</v>
          </cell>
          <cell r="G12">
            <v>8.7309140607052721E-5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2.7004314564777013E-4</v>
          </cell>
          <cell r="E13">
            <v>1.0488069241603934E-2</v>
          </cell>
          <cell r="F13">
            <v>1.3204893737117701E-2</v>
          </cell>
          <cell r="G13">
            <v>3.8855983269832618E-2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2.7004314564777013E-4</v>
          </cell>
          <cell r="E14">
            <v>1.0488069241603934E-2</v>
          </cell>
          <cell r="F14">
            <v>1.3204893737117701E-2</v>
          </cell>
          <cell r="G14">
            <v>3.8855983269832618E-2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1.1244011713525701E-3</v>
          </cell>
          <cell r="F15">
            <v>8.8086144536764395E-4</v>
          </cell>
          <cell r="G15">
            <v>4.2990255505166303E-3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2.5896952972139742E-5</v>
          </cell>
          <cell r="E16">
            <v>1.1351695119772092E-3</v>
          </cell>
          <cell r="F16">
            <v>1.9394645460583245E-3</v>
          </cell>
          <cell r="G16">
            <v>5.6970432944380076E-3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2.6312351418576866E-3</v>
          </cell>
          <cell r="E17">
            <v>1.0838929443188179E-2</v>
          </cell>
          <cell r="F17">
            <v>1.598971000549948E-2</v>
          </cell>
          <cell r="G17">
            <v>0.75365426834579996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9.7914525133997368E-3</v>
          </cell>
          <cell r="E18">
            <v>3.9914238527417281E-2</v>
          </cell>
          <cell r="F18">
            <v>5.8172239882340576E-2</v>
          </cell>
          <cell r="G18">
            <v>2.5762202347614376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9.1762928364311105E-5</v>
          </cell>
          <cell r="F19">
            <v>1.1109491548235499E-4</v>
          </cell>
          <cell r="G19">
            <v>1.4049513566408401E-2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5.1929607422899018E-5</v>
          </cell>
          <cell r="E20">
            <v>2.0365637277973964E-4</v>
          </cell>
          <cell r="F20">
            <v>3.0720462489112734E-4</v>
          </cell>
          <cell r="G20">
            <v>1.4180803239640509E-2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4.6888309295433465E-2</v>
          </cell>
          <cell r="E21">
            <v>0.10465728765346596</v>
          </cell>
          <cell r="F21">
            <v>0.10963711729267106</v>
          </cell>
          <cell r="G21">
            <v>0.14624126323797113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4.6888309295433465E-2</v>
          </cell>
          <cell r="E22">
            <v>0.10465728765346596</v>
          </cell>
          <cell r="F22">
            <v>0.10963711729267106</v>
          </cell>
          <cell r="G22">
            <v>0.14624126323797113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5.1293515601592799E-4</v>
          </cell>
          <cell r="F23">
            <v>1.1782705557176799E-3</v>
          </cell>
          <cell r="G23">
            <v>4.1021882856253598E-3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4.8571634819299363E-3</v>
          </cell>
          <cell r="E24">
            <v>7.9623017473377175E-3</v>
          </cell>
          <cell r="F24">
            <v>8.8333527742429901E-3</v>
          </cell>
          <cell r="G24">
            <v>1.1139370316629335E-2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10.988383055206198</v>
          </cell>
          <cell r="E25">
            <v>12.572098295302625</v>
          </cell>
          <cell r="F25">
            <v>15.962798992960657</v>
          </cell>
          <cell r="G25">
            <v>38.857566696762568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9.2279603317018857E-2</v>
          </cell>
          <cell r="E27">
            <v>0.17296537965807698</v>
          </cell>
          <cell r="F27">
            <v>0.26986434999146314</v>
          </cell>
          <cell r="G27">
            <v>2.0490199804503972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0.12009380659009229</v>
          </cell>
          <cell r="E28">
            <v>2.3993995881145803E-2</v>
          </cell>
          <cell r="F28">
            <v>2.9129142256958802E-2</v>
          </cell>
          <cell r="G28">
            <v>8.1395094044350608E-2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0.1103710399042092</v>
          </cell>
          <cell r="E29">
            <v>2.2415073185833412E-2</v>
          </cell>
          <cell r="F29">
            <v>2.6504656415501159E-2</v>
          </cell>
          <cell r="G29">
            <v>0.75303005964314351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10.665638605394875</v>
          </cell>
          <cell r="E30">
            <v>12.35304642969769</v>
          </cell>
          <cell r="F30">
            <v>15.637667288954495</v>
          </cell>
          <cell r="G30">
            <v>35.97432896002811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4.1842817498000041E-2</v>
          </cell>
          <cell r="E31">
            <v>0.37355714118959582</v>
          </cell>
          <cell r="F31">
            <v>1.0513792682706502</v>
          </cell>
          <cell r="G31">
            <v>4.9710062250111724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4.1842817498000041E-2</v>
          </cell>
          <cell r="E32">
            <v>0.37355714118959582</v>
          </cell>
          <cell r="F32">
            <v>1.0513792682706502</v>
          </cell>
          <cell r="G32">
            <v>4.9710062250111724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1.53539220529198E-2</v>
          </cell>
          <cell r="F33">
            <v>4.8786536552920999E-2</v>
          </cell>
          <cell r="G33">
            <v>0.29551064754124901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4.0402657902614322E-3</v>
          </cell>
          <cell r="E34">
            <v>2.5741393130315513E-2</v>
          </cell>
          <cell r="F34">
            <v>7.247214574647394E-2</v>
          </cell>
          <cell r="G34">
            <v>0.34190038780595772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2.3348766953231078E-5</v>
          </cell>
          <cell r="E35">
            <v>1.0345349101696327E-2</v>
          </cell>
          <cell r="F35">
            <v>1.3024419692660771E-2</v>
          </cell>
          <cell r="G35">
            <v>4.0019013166658339E-2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2.3348766953231078E-5</v>
          </cell>
          <cell r="E36">
            <v>1.0345349101696327E-2</v>
          </cell>
          <cell r="F36">
            <v>1.3024419692660771E-2</v>
          </cell>
          <cell r="G36">
            <v>4.0019013166658339E-2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1.13680007949305E-3</v>
          </cell>
          <cell r="F37">
            <v>8.7924119738218699E-4</v>
          </cell>
          <cell r="G37">
            <v>4.5134735333671201E-3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1.5069422569588742E-6</v>
          </cell>
          <cell r="E38">
            <v>1.123166914021443E-3</v>
          </cell>
          <cell r="F38">
            <v>1.9245346919758732E-3</v>
          </cell>
          <cell r="G38">
            <v>5.8909128185001287E-3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6.5129774928634143E-2</v>
          </cell>
          <cell r="E39">
            <v>0.19489914700311281</v>
          </cell>
          <cell r="F39">
            <v>0.21884058665307157</v>
          </cell>
          <cell r="G39">
            <v>0.24124625019774806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6.5129774928634143E-2</v>
          </cell>
          <cell r="E40">
            <v>0.19489914700311281</v>
          </cell>
          <cell r="F40">
            <v>0.21884058665307157</v>
          </cell>
          <cell r="G40">
            <v>0.24124625019774806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3.0318836744398E-3</v>
          </cell>
          <cell r="F41">
            <v>2.87303237055383E-3</v>
          </cell>
          <cell r="G41">
            <v>5.1656316952394697E-3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7.235117308671944E-3</v>
          </cell>
          <cell r="E42">
            <v>1.5439618163207299E-2</v>
          </cell>
          <cell r="F42">
            <v>1.7595795588699774E-2</v>
          </cell>
          <cell r="G42">
            <v>1.9194078800756235E-2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2.9019992042068946E-5</v>
          </cell>
          <cell r="E43">
            <v>8.8499277489182265E-3</v>
          </cell>
          <cell r="F43">
            <v>2.426225475064411E-2</v>
          </cell>
          <cell r="G43">
            <v>7.3677234667547289E-2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2.9019992042068946E-5</v>
          </cell>
          <cell r="E44">
            <v>8.8499277489182265E-3</v>
          </cell>
          <cell r="F44">
            <v>2.426225475064411E-2</v>
          </cell>
          <cell r="G44">
            <v>7.3677234667547289E-2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6.8165981705873397E-4</v>
          </cell>
          <cell r="F45">
            <v>1.3241344522857E-3</v>
          </cell>
          <cell r="G45">
            <v>4.1641228181132101E-3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6.7283509062103714E-4</v>
          </cell>
          <cell r="F46">
            <v>1.9407437403485151E-3</v>
          </cell>
          <cell r="G46">
            <v>5.6058465284343677E-3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4.40315267933853E-5</v>
          </cell>
          <cell r="E49">
            <v>5.40306035574096E-5</v>
          </cell>
          <cell r="F49">
            <v>8.1082402963010704E-5</v>
          </cell>
          <cell r="G49">
            <v>1.3511804005416801E-4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2.0938340246585653E-3</v>
          </cell>
          <cell r="E50">
            <v>2.1478646282159747E-3</v>
          </cell>
          <cell r="F50">
            <v>2.2289470311789858E-3</v>
          </cell>
          <cell r="G50">
            <v>2.3640650712331542E-3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2.1980876605530485E-4</v>
          </cell>
          <cell r="E51">
            <v>0.16813802396124963</v>
          </cell>
          <cell r="F51">
            <v>0.84726035832866553</v>
          </cell>
          <cell r="G51">
            <v>3.5162773971313337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2.1980876605530485E-4</v>
          </cell>
          <cell r="E52">
            <v>0.16813802396124963</v>
          </cell>
          <cell r="F52">
            <v>0.84726035832866553</v>
          </cell>
          <cell r="G52">
            <v>3.5162773971313337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1.17205678542446E-2</v>
          </cell>
          <cell r="F53">
            <v>4.8057431120459702E-2</v>
          </cell>
          <cell r="G53">
            <v>0.20184916740907299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4.013753844852821E-6</v>
          </cell>
          <cell r="E54">
            <v>1.156849404315257E-2</v>
          </cell>
          <cell r="F54">
            <v>5.8323733122126409E-2</v>
          </cell>
          <cell r="G54">
            <v>0.24182333836203476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3.1550796499823256E-3</v>
          </cell>
          <cell r="E55">
            <v>5.2250073941965958E-2</v>
          </cell>
          <cell r="F55">
            <v>8.7715512359107642E-2</v>
          </cell>
          <cell r="G55">
            <v>0.13704880371612743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3.1550796499823256E-3</v>
          </cell>
          <cell r="E56">
            <v>5.2250073941965958E-2</v>
          </cell>
          <cell r="F56">
            <v>8.7715512359107642E-2</v>
          </cell>
          <cell r="G56">
            <v>0.13704880371612743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3.5154114790280099E-3</v>
          </cell>
          <cell r="F57">
            <v>3.1827842165952701E-3</v>
          </cell>
          <cell r="G57">
            <v>5.2868389030913902E-3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2.5883004702203827E-4</v>
          </cell>
          <cell r="E58">
            <v>4.1482161396717955E-3</v>
          </cell>
          <cell r="F58">
            <v>7.0624102310165304E-3</v>
          </cell>
          <cell r="G58">
            <v>1.0902234661451097E-2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2.8263338012571438E-5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1.2057647434999166E-4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5.3291842188817103E-7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5.3291842188817103E-7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2.7037760691607846E-4</v>
          </cell>
          <cell r="E63">
            <v>9.4205086167477234E-3</v>
          </cell>
          <cell r="F63">
            <v>1.1556324504919335E-2</v>
          </cell>
          <cell r="G63">
            <v>3.1070018475215462E-2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2.7958753205819999E-2</v>
          </cell>
          <cell r="E64">
            <v>0.97414012385538096</v>
          </cell>
          <cell r="F64">
            <v>1.1949969839761749</v>
          </cell>
          <cell r="G64">
            <v>3.2128362572512978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3.7884489438780506E-4</v>
          </cell>
          <cell r="E65">
            <v>1.3199730675547194E-2</v>
          </cell>
          <cell r="F65">
            <v>1.6192371056587721E-2</v>
          </cell>
          <cell r="G65">
            <v>4.3534366629421332E-2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1.7651240878267877E-5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1.043825120630263E-4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2.2063892831637101E-7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2.2063892831637101E-7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5.2580846741960201</v>
          </cell>
          <cell r="E70">
            <v>11.58203171963078</v>
          </cell>
          <cell r="F70">
            <v>11.763821887056718</v>
          </cell>
          <cell r="G70">
            <v>14.104179790402931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4.1752337135842393E-2</v>
          </cell>
          <cell r="E71">
            <v>9.1968258983958856E-2</v>
          </cell>
          <cell r="F71">
            <v>9.3411781640716021E-2</v>
          </cell>
          <cell r="G71">
            <v>0.11199562314455881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7.1247759812954198E-2</v>
          </cell>
          <cell r="E72">
            <v>0.15693809918198898</v>
          </cell>
          <cell r="F72">
            <v>0.15940138058342432</v>
          </cell>
          <cell r="G72">
            <v>0.19111354729543278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1.8261361362408397E-5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1.6145010233653467E-4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2.3316454417053499E-7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2.3316454417053499E-7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1.1750161281929127E-3</v>
          </cell>
          <cell r="F77">
            <v>1.8529873803534559E-3</v>
          </cell>
          <cell r="G77">
            <v>2.5364250162718312E-2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1.1750161281929125E-3</v>
          </cell>
          <cell r="F78">
            <v>1.8529873803534559E-3</v>
          </cell>
          <cell r="G78">
            <v>2.5364250162718305E-2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1.2128254333740741E-3</v>
          </cell>
          <cell r="F79">
            <v>1.9303635287773069E-3</v>
          </cell>
          <cell r="G79">
            <v>2.549071040190052E-2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1.2128254333740741E-3</v>
          </cell>
          <cell r="F80">
            <v>1.9303635287773069E-3</v>
          </cell>
          <cell r="G80">
            <v>2.549071040190052E-2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9.0829925383816401E-2</v>
          </cell>
          <cell r="F81">
            <v>5.7673680056318302E-2</v>
          </cell>
          <cell r="G81">
            <v>0.39859948091985198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9.0829925383816401E-2</v>
          </cell>
          <cell r="F82">
            <v>0.14845843974048525</v>
          </cell>
          <cell r="G82">
            <v>0.54696062716602289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5.6604835703303698</v>
          </cell>
          <cell r="E83">
            <v>42.515039072476696</v>
          </cell>
          <cell r="F83">
            <v>114.93592353010041</v>
          </cell>
          <cell r="G83">
            <v>474.20182050413075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4.1842826717428797E-2</v>
          </cell>
          <cell r="E84">
            <v>0.31427516583897319</v>
          </cell>
          <cell r="F84">
            <v>0.84961715233756141</v>
          </cell>
          <cell r="G84">
            <v>3.5053444388472261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7.670031938117032E-2</v>
          </cell>
          <cell r="E85">
            <v>0.57608454027746359</v>
          </cell>
          <cell r="F85">
            <v>1.5573973378062411</v>
          </cell>
          <cell r="G85">
            <v>6.425498922820216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1.2420792818835754E-5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1.6365403201133697E-4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G88">
            <v>1.25182646828807E-7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G89">
            <v>1.25182646828807E-7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3.3980694243485477E-3</v>
          </cell>
          <cell r="E90">
            <v>9.1616082487121549E-3</v>
          </cell>
          <cell r="F90">
            <v>1.3199671742255262E-2</v>
          </cell>
          <cell r="G90">
            <v>4.2181252212448825E-2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3.3980694243485477E-3</v>
          </cell>
          <cell r="E91">
            <v>9.1616082487121532E-3</v>
          </cell>
          <cell r="F91">
            <v>1.3199671742255262E-2</v>
          </cell>
          <cell r="G91">
            <v>4.2181252212448818E-2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3.4335120730159155E-3</v>
          </cell>
          <cell r="E92">
            <v>9.2396244126089575E-3</v>
          </cell>
          <cell r="F92">
            <v>1.334373578126003E-2</v>
          </cell>
          <cell r="G92">
            <v>4.2333124363522719E-2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3.4335120730159155E-3</v>
          </cell>
          <cell r="E93">
            <v>9.2396244126089575E-3</v>
          </cell>
          <cell r="F93">
            <v>1.334373578126003E-2</v>
          </cell>
          <cell r="G93">
            <v>4.2333124363522719E-2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0.265256718916137</v>
          </cell>
          <cell r="E94">
            <v>0.25835644852984901</v>
          </cell>
          <cell r="F94">
            <v>0.31526023422807398</v>
          </cell>
          <cell r="G94">
            <v>0.49291617174561803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0.265256718916137</v>
          </cell>
          <cell r="E95">
            <v>0.52348880310322232</v>
          </cell>
          <cell r="F95">
            <v>0.83844125528826563</v>
          </cell>
          <cell r="G95">
            <v>1.3309345921549731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9.2477629988184091</v>
          </cell>
          <cell r="E96">
            <v>23.581040548970201</v>
          </cell>
          <cell r="F96">
            <v>25.52430803638148</v>
          </cell>
          <cell r="G96">
            <v>24.801032198685199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6.5129774928634213E-2</v>
          </cell>
          <cell r="E97">
            <v>0.1660756080939424</v>
          </cell>
          <cell r="F97">
            <v>0.17976157453765423</v>
          </cell>
          <cell r="G97">
            <v>0.17466771643094253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0.12530844171840649</v>
          </cell>
          <cell r="E98">
            <v>0.31952629470149346</v>
          </cell>
          <cell r="F98">
            <v>0.34585783247129392</v>
          </cell>
          <cell r="G98">
            <v>0.33605734686565342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6.1269988963049783E-2</v>
          </cell>
          <cell r="F99">
            <v>0.25994820716762895</v>
          </cell>
          <cell r="G99">
            <v>1.7981830555992155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6.1269988963049769E-2</v>
          </cell>
          <cell r="F100">
            <v>0.25994820716762895</v>
          </cell>
          <cell r="G100">
            <v>1.7981830555992151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6.1322057508058643E-2</v>
          </cell>
          <cell r="F101">
            <v>0.26006021463081486</v>
          </cell>
          <cell r="G101">
            <v>1.7984872700473518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6.1322057508058643E-2</v>
          </cell>
          <cell r="F102">
            <v>0.26006021463081486</v>
          </cell>
          <cell r="G102">
            <v>1.7984872700473518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2.3754199303947399</v>
          </cell>
          <cell r="F103">
            <v>8.4801398001596109</v>
          </cell>
          <cell r="G103">
            <v>42.609226244831802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2.3754199303947399</v>
          </cell>
          <cell r="F104">
            <v>10.854353439392606</v>
          </cell>
          <cell r="G104">
            <v>53.455409493013207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15.269850457960199</v>
          </cell>
          <cell r="F105">
            <v>119.2123211919085</v>
          </cell>
          <cell r="G105">
            <v>88.028747222893358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9.5987070062571622E-2</v>
          </cell>
          <cell r="F106">
            <v>0.74937481922780114</v>
          </cell>
          <cell r="G106">
            <v>0.55335325977599581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0.20831992439236316</v>
          </cell>
          <cell r="F107">
            <v>1.6263618170792393</v>
          </cell>
          <cell r="G107">
            <v>1.2009378884432929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6.7094236436467999E-3</v>
          </cell>
          <cell r="F108">
            <v>4.5751878065639899E-2</v>
          </cell>
          <cell r="G108">
            <v>3.4302271659534902E-3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6.7094236436467999E-3</v>
          </cell>
          <cell r="F109">
            <v>5.2461006499486013E-2</v>
          </cell>
          <cell r="G109">
            <v>5.500213081329311E-2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8.0404380388603451E-4</v>
          </cell>
          <cell r="E110">
            <v>2.4770105580335529E-3</v>
          </cell>
          <cell r="F110">
            <v>2.4925966819578241E-3</v>
          </cell>
          <cell r="G110">
            <v>9.455148011890094E-4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4.6087908476744157E-3</v>
          </cell>
          <cell r="E111">
            <v>1.4122655236471049E-2</v>
          </cell>
          <cell r="F111">
            <v>1.4181376923106181E-2</v>
          </cell>
          <cell r="G111">
            <v>5.2476662131087483E-3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4.0258976701460997E-6</v>
          </cell>
          <cell r="F112">
            <v>3.8834709868793699E-6</v>
          </cell>
          <cell r="G112">
            <v>6.7609010957936497E-6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1.3980072444518664E-5</v>
          </cell>
          <cell r="E113">
            <v>4.7282724270338371E-5</v>
          </cell>
          <cell r="F113">
            <v>5.0748974402082048E-5</v>
          </cell>
          <cell r="G113">
            <v>1.7958340226225339E-5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2.7274012477276833E-2</v>
          </cell>
          <cell r="F114">
            <v>4.0731468455580989E-2</v>
          </cell>
          <cell r="G114">
            <v>8.2847736877723829E-2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2.7274012477276833E-2</v>
          </cell>
          <cell r="F115">
            <v>4.0731468455580983E-2</v>
          </cell>
          <cell r="G115">
            <v>8.2847736877723829E-2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2.7324013260082432E-2</v>
          </cell>
          <cell r="F116">
            <v>4.0821552052504789E-2</v>
          </cell>
          <cell r="G116">
            <v>8.2980400639005844E-2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2.7324013260082432E-2</v>
          </cell>
          <cell r="F117">
            <v>4.0821552052504789E-2</v>
          </cell>
          <cell r="G117">
            <v>8.2980400639005844E-2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0.55878150993846998</v>
          </cell>
          <cell r="F118">
            <v>0.52799078838045299</v>
          </cell>
          <cell r="G118">
            <v>0.90164569678507001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0.55878150993846998</v>
          </cell>
          <cell r="F119">
            <v>1.0866605076941445</v>
          </cell>
          <cell r="G119">
            <v>1.9879736970621327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61.376655447472501</v>
          </cell>
          <cell r="E120">
            <v>128.43179679945999</v>
          </cell>
          <cell r="F120">
            <v>40.867610333111102</v>
          </cell>
          <cell r="G120">
            <v>20.040376359342801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0.23085544539155137</v>
          </cell>
          <cell r="E121">
            <v>0.48757154799947011</v>
          </cell>
          <cell r="F121">
            <v>0.15729653438406543</v>
          </cell>
          <cell r="G121">
            <v>7.7133987609815685E-2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0.83166199793323137</v>
          </cell>
          <cell r="E122">
            <v>1.74026824931518</v>
          </cell>
          <cell r="F122">
            <v>0.55376165763023222</v>
          </cell>
          <cell r="G122">
            <v>0.27154981516724613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4.5952E-2</v>
          </cell>
          <cell r="E123">
            <v>3.98250666666667E-2</v>
          </cell>
          <cell r="F123">
            <v>3.0634400681765206E-2</v>
          </cell>
          <cell r="G123">
            <v>1.5317247261841105E-2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2.5094987379160001E-2</v>
          </cell>
          <cell r="E124">
            <v>2.6556501260762151E-2</v>
          </cell>
          <cell r="F124">
            <v>2.9125486040344664E-2</v>
          </cell>
          <cell r="G124">
            <v>3.1625136207197736E-2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1.5023311167954285</v>
          </cell>
          <cell r="E125">
            <v>1.58982579247647</v>
          </cell>
          <cell r="F125">
            <v>1.7436200827316508</v>
          </cell>
          <cell r="G125">
            <v>1.893263601974257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2.6519457834630798E-6</v>
          </cell>
          <cell r="E126">
            <v>1.3316798355705799E-4</v>
          </cell>
          <cell r="F126">
            <v>2.3721675525588699E-4</v>
          </cell>
          <cell r="G126">
            <v>2.3026050916727801E-4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2.3193164334666429E-3</v>
          </cell>
          <cell r="E127">
            <v>2.4524844170237007E-3</v>
          </cell>
          <cell r="F127">
            <v>2.6896673863221346E-3</v>
          </cell>
          <cell r="G127">
            <v>2.9199500178138131E-3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814.07834168813599</v>
          </cell>
          <cell r="E128">
            <v>549.03626873974497</v>
          </cell>
          <cell r="F128">
            <v>400.840399473113</v>
          </cell>
          <cell r="G128">
            <v>199.81605967488801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2.8768910679731654</v>
          </cell>
          <cell r="E129">
            <v>2.0069220302618147</v>
          </cell>
          <cell r="F129">
            <v>1.5382247735055503</v>
          </cell>
          <cell r="G129">
            <v>0.76679399965719586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11.106116530533903</v>
          </cell>
          <cell r="E130">
            <v>7.4902628750306288</v>
          </cell>
          <cell r="F130">
            <v>5.4684911251447881</v>
          </cell>
          <cell r="G130">
            <v>2.7260035426314948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0.228993</v>
          </cell>
          <cell r="E131">
            <v>0.19846059999999999</v>
          </cell>
          <cell r="F131">
            <v>0.15264877060509788</v>
          </cell>
          <cell r="G131">
            <v>7.6330725922629725E-2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0.20390290081791612</v>
          </cell>
          <cell r="E132">
            <v>0.2316648111686373</v>
          </cell>
          <cell r="F132">
            <v>0.24545930858055431</v>
          </cell>
          <cell r="G132">
            <v>0.16268456404881679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2.2290503464519043E-3</v>
          </cell>
          <cell r="E133">
            <v>2.5046079326976616E-3</v>
          </cell>
          <cell r="F133">
            <v>2.6217632300642901E-3</v>
          </cell>
          <cell r="G133">
            <v>1.7179765053750777E-3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3.6152996598921281E-3</v>
          </cell>
          <cell r="E134">
            <v>4.1075321129190982E-3</v>
          </cell>
          <cell r="F134">
            <v>4.3521154003644449E-3</v>
          </cell>
          <cell r="G134">
            <v>2.8844780859719299E-3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4.5266687483208297E-5</v>
          </cell>
          <cell r="F135">
            <v>5.1571661629886503E-5</v>
          </cell>
          <cell r="G135">
            <v>3.7893429035077198E-5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2.5616397081194245E-4</v>
          </cell>
          <cell r="E136">
            <v>2.9042783015163271E-4</v>
          </cell>
          <cell r="F136">
            <v>3.3952347085270681E-4</v>
          </cell>
          <cell r="G136">
            <v>2.0029133630795505E-4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0.75887279069156521</v>
          </cell>
          <cell r="E137">
            <v>1.7790897212910692</v>
          </cell>
          <cell r="F137">
            <v>4.4611062106630781</v>
          </cell>
          <cell r="G137">
            <v>18.547844650195096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0.75887279069156521</v>
          </cell>
          <cell r="E138">
            <v>1.7790897212910692</v>
          </cell>
          <cell r="F138">
            <v>4.4611062106630781</v>
          </cell>
          <cell r="G138">
            <v>18.547844650195096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1.4228496410103101E-5</v>
          </cell>
          <cell r="E139">
            <v>7.9475407614687799E-6</v>
          </cell>
          <cell r="F139">
            <v>1.0254397935027399</v>
          </cell>
          <cell r="G139">
            <v>9.1559442141497698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1.2762721855544601</v>
          </cell>
          <cell r="E140">
            <v>1.2762801330952214</v>
          </cell>
          <cell r="F140">
            <v>2.30171992659796</v>
          </cell>
          <cell r="G140">
            <v>11.457664140747751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2.876450800608024</v>
          </cell>
          <cell r="E141">
            <v>2.9409652180507839</v>
          </cell>
          <cell r="F141">
            <v>3.0550089185334501</v>
          </cell>
          <cell r="G141">
            <v>0.63165564159765664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3.2207778514484517E-2</v>
          </cell>
          <cell r="E142">
            <v>3.3052267161579239E-2</v>
          </cell>
          <cell r="F142">
            <v>3.3799698204680866E-2</v>
          </cell>
          <cell r="G142">
            <v>6.1750877591011666E-3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5.1000900720000422E-2</v>
          </cell>
          <cell r="E143">
            <v>5.2144773369694718E-2</v>
          </cell>
          <cell r="F143">
            <v>5.4166824796692443E-2</v>
          </cell>
          <cell r="G143">
            <v>1.1199568113433638E-2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3.4153313293212902E-5</v>
          </cell>
          <cell r="F144">
            <v>5.2802614511805299E-5</v>
          </cell>
          <cell r="G144">
            <v>3.4823162589783002E-5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2.6900174830049423E-3</v>
          </cell>
          <cell r="E145">
            <v>2.6527668725691506E-3</v>
          </cell>
          <cell r="F145">
            <v>2.6636941312835512E-3</v>
          </cell>
          <cell r="G145">
            <v>4.8233846230312212E-4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322.44588117845615</v>
          </cell>
          <cell r="E146">
            <v>384.94909044842353</v>
          </cell>
          <cell r="F146">
            <v>377.67313175371953</v>
          </cell>
          <cell r="G146">
            <v>158.76415194422739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1.5049579228836167</v>
          </cell>
          <cell r="E147">
            <v>1.7966803652752117</v>
          </cell>
          <cell r="F147">
            <v>1.7627211419657105</v>
          </cell>
          <cell r="G147">
            <v>0.7410030094511475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4.3989888291740282</v>
          </cell>
          <cell r="E148">
            <v>5.2516929119839455</v>
          </cell>
          <cell r="F148">
            <v>5.1524301739934444</v>
          </cell>
          <cell r="G148">
            <v>2.1659502311627272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3.52397960440414E-4</v>
          </cell>
          <cell r="F149">
            <v>1.6459100613071701E-3</v>
          </cell>
          <cell r="G149">
            <v>8.0739535086164803E-4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0.10616067873160853</v>
          </cell>
          <cell r="E150">
            <v>0.1254968048311933</v>
          </cell>
          <cell r="F150">
            <v>0.12714439780081918</v>
          </cell>
          <cell r="G150">
            <v>7.3597664614263786E-2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0.26947804419943011</v>
          </cell>
          <cell r="E151">
            <v>0.33455341521042203</v>
          </cell>
          <cell r="F151">
            <v>0.44261986393296776</v>
          </cell>
          <cell r="G151">
            <v>0.41356033242225088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2.2483731975374813E-3</v>
          </cell>
          <cell r="E152">
            <v>2.8871316350043124E-3</v>
          </cell>
          <cell r="F152">
            <v>3.8279842977189593E-3</v>
          </cell>
          <cell r="G152">
            <v>3.5122311713715218E-3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4.7779795070820906E-3</v>
          </cell>
          <cell r="E153">
            <v>5.931798142028751E-3</v>
          </cell>
          <cell r="F153">
            <v>7.8478699278894878E-3</v>
          </cell>
          <cell r="G153">
            <v>7.3326300074867323E-3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4.2165185010571899E-5</v>
          </cell>
          <cell r="F154">
            <v>6.1600997243597399E-5</v>
          </cell>
          <cell r="G154">
            <v>3.5210872990832798E-5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1.509914908466808E-4</v>
          </cell>
          <cell r="E155">
            <v>1.9639819204006779E-4</v>
          </cell>
          <cell r="F155">
            <v>2.5581643863092321E-4</v>
          </cell>
          <cell r="G155">
            <v>2.311601671746478E-4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2.6858962576044787</v>
          </cell>
          <cell r="E156">
            <v>2.7010791647537404</v>
          </cell>
          <cell r="F156">
            <v>2.5950971442430544</v>
          </cell>
          <cell r="G156">
            <v>0.33213292940948486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3.2513786746818991E-2</v>
          </cell>
          <cell r="E157">
            <v>3.241706271946581E-2</v>
          </cell>
          <cell r="F157">
            <v>3.0747016428521508E-2</v>
          </cell>
          <cell r="G157">
            <v>3.22424118941612E-3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4.7622274071001489E-2</v>
          </cell>
          <cell r="E158">
            <v>4.7891474552371319E-2</v>
          </cell>
          <cell r="F158">
            <v>4.6012360713529252E-2</v>
          </cell>
          <cell r="G158">
            <v>5.8888817271185246E-3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4.3208942843573597E-5</v>
          </cell>
          <cell r="F159">
            <v>6.3537765715635102E-5</v>
          </cell>
          <cell r="G159">
            <v>3.8038243543099198E-5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2.60743625399938E-3</v>
          </cell>
          <cell r="E160">
            <v>2.570472494382167E-3</v>
          </cell>
          <cell r="F160">
            <v>2.4542331392227012E-3</v>
          </cell>
          <cell r="G160">
            <v>2.6048142752979207E-4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0.38561874373514399</v>
          </cell>
          <cell r="F161">
            <v>0.7372752700693721</v>
          </cell>
          <cell r="G161">
            <v>1.0290069247189351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2.7086125803752101E-3</v>
          </cell>
          <cell r="F162">
            <v>5.3843627285739461E-3</v>
          </cell>
          <cell r="G162">
            <v>7.8818516363841455E-3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5.2251862294734877E-3</v>
          </cell>
          <cell r="F163">
            <v>9.9901798112381063E-3</v>
          </cell>
          <cell r="G163">
            <v>1.3943183261774164E-2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3.1861209575087301E-4</v>
          </cell>
          <cell r="F164">
            <v>4.9356385671939305E-4</v>
          </cell>
          <cell r="G164">
            <v>4.6272560479405602E-4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3.1437036483584802E-4</v>
          </cell>
          <cell r="F165">
            <v>7.8336918597091696E-4</v>
          </cell>
          <cell r="G165">
            <v>1.10480659379235E-3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2.8832315767707572E-2</v>
          </cell>
          <cell r="G166">
            <v>3.0543631535415186E-2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0.35149986092475399</v>
          </cell>
          <cell r="G167">
            <v>0.45078090930791764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0.34762369097276902</v>
          </cell>
          <cell r="F168">
            <v>0.99221408881808804</v>
          </cell>
          <cell r="G168">
            <v>1.3113231216905761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1.9658030804223432E-3</v>
          </cell>
          <cell r="F169">
            <v>5.8776644292743464E-3</v>
          </cell>
          <cell r="G169">
            <v>8.1052224451632106E-3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4.710348116162175E-3</v>
          </cell>
          <cell r="F170">
            <v>1.3444635349838592E-2</v>
          </cell>
          <cell r="G170">
            <v>1.7768605984967153E-2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1.6310258839733201E-4</v>
          </cell>
          <cell r="F171">
            <v>3.6591970991256599E-4</v>
          </cell>
          <cell r="G171">
            <v>2.4338677524886099E-4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1.6093117902288501E-4</v>
          </cell>
          <cell r="F172">
            <v>5.1276785596746002E-4</v>
          </cell>
          <cell r="G172">
            <v>6.6998433071625602E-4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0.31274700323689503</v>
          </cell>
          <cell r="F173">
            <v>0.57160734107352806</v>
          </cell>
          <cell r="G173">
            <v>0.78368327088775902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2.3980204899592336E-3</v>
          </cell>
          <cell r="F174">
            <v>4.5210762304691357E-3</v>
          </cell>
          <cell r="G174">
            <v>6.4430916944571218E-3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4.2666712583478142E-3</v>
          </cell>
          <cell r="F175">
            <v>7.7981901919990269E-3</v>
          </cell>
          <cell r="G175">
            <v>1.0691449807472823E-2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2.8117851035941303E-4</v>
          </cell>
          <cell r="F176">
            <v>3.9614217116034403E-4</v>
          </cell>
          <cell r="G176">
            <v>3.5707814689522199E-4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2.77435138416105E-4</v>
          </cell>
          <cell r="F177">
            <v>6.5242338728946196E-4</v>
          </cell>
          <cell r="G177">
            <v>8.9217492029737804E-4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0.456712635709624</v>
          </cell>
          <cell r="F178">
            <v>1.206169595071573</v>
          </cell>
          <cell r="G178">
            <v>1.439526932217934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2.4009588096443098E-3</v>
          </cell>
          <cell r="F179">
            <v>6.6296719150267178E-3</v>
          </cell>
          <cell r="G179">
            <v>8.2192878022129597E-3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6.1885180990463983E-3</v>
          </cell>
          <cell r="F180">
            <v>1.634376145083432E-2</v>
          </cell>
          <cell r="G180">
            <v>1.9505784989402912E-2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1.77609523635485E-4</v>
          </cell>
          <cell r="F181">
            <v>3.3092130425557698E-4</v>
          </cell>
          <cell r="G181">
            <v>1.9483607305095801E-4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1.75244981242855E-4</v>
          </cell>
          <cell r="F182">
            <v>4.9172988840748397E-4</v>
          </cell>
          <cell r="G182">
            <v>6.0442619453453901E-4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0.296411804493034</v>
          </cell>
          <cell r="F183">
            <v>0.76687449452337597</v>
          </cell>
          <cell r="G183">
            <v>0.98678924777243004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1.8282156736666552E-3</v>
          </cell>
          <cell r="F184">
            <v>4.9075163393193892E-3</v>
          </cell>
          <cell r="G184">
            <v>6.5452983153249707E-3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4.0438172509281601E-3</v>
          </cell>
          <cell r="F185">
            <v>1.0462134986676341E-2</v>
          </cell>
          <cell r="G185">
            <v>1.3462336258832605E-2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1.49505281852152E-4</v>
          </cell>
          <cell r="F186">
            <v>2.82748697735677E-4</v>
          </cell>
          <cell r="G186">
            <v>1.9282859071547201E-4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1.4751489547181899E-4</v>
          </cell>
          <cell r="F187">
            <v>4.1805575886992699E-4</v>
          </cell>
          <cell r="G187">
            <v>5.3974750101408995E-4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0.53808486304684999</v>
          </cell>
          <cell r="F188">
            <v>1.5067854801159162</v>
          </cell>
          <cell r="G188">
            <v>1.7712340731783911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2.8677778697233256E-3</v>
          </cell>
          <cell r="F189">
            <v>8.39998395522892E-3</v>
          </cell>
          <cell r="G189">
            <v>1.0223917124167717E-2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7.2911228055128627E-3</v>
          </cell>
          <cell r="F190">
            <v>2.0417147427044927E-2</v>
          </cell>
          <cell r="G190">
            <v>2.4000461696184167E-2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2.4193715345735599E-4</v>
          </cell>
          <cell r="F191">
            <v>5.0507953656970801E-4</v>
          </cell>
          <cell r="G191">
            <v>2.6739176910912102E-4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2.38716207620712E-4</v>
          </cell>
          <cell r="F192">
            <v>7.2340774290020795E-4</v>
          </cell>
          <cell r="G192">
            <v>8.7233148999211303E-4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0.37182087476796299</v>
          </cell>
          <cell r="F193">
            <v>0.88750535720073798</v>
          </cell>
          <cell r="G193">
            <v>1.0536645418289581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2.1319158746760086E-3</v>
          </cell>
          <cell r="F194">
            <v>5.2703143471622719E-3</v>
          </cell>
          <cell r="G194">
            <v>6.4650101546145505E-3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5.07259037882623E-3</v>
          </cell>
          <cell r="F195">
            <v>1.2107849347895468E-2</v>
          </cell>
          <cell r="G195">
            <v>1.4374686791663833E-2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1.5651154429672701E-4</v>
          </cell>
          <cell r="F196">
            <v>2.4726582929399202E-4</v>
          </cell>
          <cell r="G196">
            <v>1.5233443295633599E-4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1.54427882487099E-4</v>
          </cell>
          <cell r="F197">
            <v>3.89562575957813E-4</v>
          </cell>
          <cell r="G197">
            <v>4.7580632677896202E-4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1.5751141594673099</v>
          </cell>
          <cell r="F198">
            <v>1.906196197373067</v>
          </cell>
          <cell r="G198">
            <v>1.575576605956016E-2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3.4921913981897272E-3</v>
          </cell>
          <cell r="F199">
            <v>4.2665476513924008E-3</v>
          </cell>
          <cell r="G199">
            <v>3.7116658101557219E-5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2.1488596991368427E-2</v>
          </cell>
          <cell r="F200">
            <v>2.6005405148336505E-2</v>
          </cell>
          <cell r="G200">
            <v>2.1494905947558231E-4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7.7768263973979006E-5</v>
          </cell>
          <cell r="F201">
            <v>1.95870801698104E-5</v>
          </cell>
          <cell r="G201">
            <v>2.5439386161630998E-7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7.7768263973979006E-5</v>
          </cell>
          <cell r="F202">
            <v>9.6442351246080042E-5</v>
          </cell>
          <cell r="G202">
            <v>6.0730231772940626E-7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0.29127231288781302</v>
          </cell>
          <cell r="F203">
            <v>0.66316429566392809</v>
          </cell>
          <cell r="G203">
            <v>0.79679900769849099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1.5872316024544359E-3</v>
          </cell>
          <cell r="F204">
            <v>3.737431508930016E-3</v>
          </cell>
          <cell r="G204">
            <v>4.6453621391426836E-3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3.9737014036536587E-3</v>
          </cell>
          <cell r="F205">
            <v>9.047261878089052E-3</v>
          </cell>
          <cell r="G205">
            <v>1.0870382096841612E-2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1.3500130498491801E-4</v>
          </cell>
          <cell r="F206">
            <v>2.0120875051613099E-4</v>
          </cell>
          <cell r="G206">
            <v>1.34880904344834E-4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1.3320401223752999E-4</v>
          </cell>
          <cell r="F207">
            <v>3.2410961813973303E-4</v>
          </cell>
          <cell r="G207">
            <v>4.0324216068371102E-4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0.206802213298168</v>
          </cell>
          <cell r="F208">
            <v>0.37488457603200598</v>
          </cell>
          <cell r="G208">
            <v>2.6939995053107957E-2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3.2866580437831353E-4</v>
          </cell>
          <cell r="F209">
            <v>6.0898841034704246E-4</v>
          </cell>
          <cell r="G209">
            <v>4.5340612464173049E-5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2.82131259615509E-3</v>
          </cell>
          <cell r="F210">
            <v>5.1143871218554829E-3</v>
          </cell>
          <cell r="G210">
            <v>3.6753062828250987E-4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7.6129508442832501E-6</v>
          </cell>
          <cell r="F211">
            <v>6.1795812980324403E-6</v>
          </cell>
          <cell r="G211">
            <v>2.26784418669213E-7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7.6129508442832501E-6</v>
          </cell>
          <cell r="F212">
            <v>1.3742378178404533E-5</v>
          </cell>
          <cell r="G212">
            <v>6.1570014628680132E-7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0.41607209159050434</v>
          </cell>
          <cell r="E213">
            <v>0.36072601065105986</v>
          </cell>
          <cell r="F213">
            <v>0.2772929438843833</v>
          </cell>
          <cell r="G213">
            <v>0.13873048884991923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0.46775321103068807</v>
          </cell>
          <cell r="E214">
            <v>0.37695569892784792</v>
          </cell>
          <cell r="F214">
            <v>0.26206799058819863</v>
          </cell>
          <cell r="G214">
            <v>0.11309438201948849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4.2040000000000001E-2</v>
          </cell>
          <cell r="E215">
            <v>3.6434666666666699E-2</v>
          </cell>
          <cell r="F215">
            <v>2.801066841291143E-2</v>
          </cell>
          <cell r="G215">
            <v>1.4013021769846845E-2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8934.8483903432807</v>
          </cell>
          <cell r="E216">
            <v>8259.86546306114</v>
          </cell>
          <cell r="F216">
            <v>6998.8545337887799</v>
          </cell>
          <cell r="G216">
            <v>4163.9431963346597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120.10287752597347</v>
          </cell>
          <cell r="E217">
            <v>111.02970825596023</v>
          </cell>
          <cell r="F217">
            <v>94.079108247906248</v>
          </cell>
          <cell r="G217">
            <v>55.972025252828871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121.89424816293706</v>
          </cell>
          <cell r="E218">
            <v>112.68574983712354</v>
          </cell>
          <cell r="F218">
            <v>95.48232651826433</v>
          </cell>
          <cell r="G218">
            <v>56.806864888603791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0.113960591784332</v>
          </cell>
          <cell r="F219">
            <v>0.2083914515819914</v>
          </cell>
          <cell r="G219">
            <v>6.4865680326531505E-2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1.2163439667629872E-4</v>
          </cell>
          <cell r="F220">
            <v>2.2729354479545004E-4</v>
          </cell>
          <cell r="G220">
            <v>7.2757052675112625E-5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1.554714758312847E-3</v>
          </cell>
          <cell r="F221">
            <v>2.8429938824282531E-3</v>
          </cell>
          <cell r="G221">
            <v>8.8493424729238132E-4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2.8996349118833099E-6</v>
          </cell>
          <cell r="F222">
            <v>2.32158455479767E-6</v>
          </cell>
          <cell r="G222">
            <v>3.82704102885978E-7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2.8996349118833099E-6</v>
          </cell>
          <cell r="F223">
            <v>5.2098346965093719E-6</v>
          </cell>
          <cell r="G223">
            <v>1.4777193708819405E-6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1.1753588908782205E-2</v>
          </cell>
          <cell r="E224">
            <v>2.2074972550568058E-2</v>
          </cell>
          <cell r="F224">
            <v>2.1027797554929083E-2</v>
          </cell>
          <cell r="G224">
            <v>0.51125589063957178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1.1753588908782205E-2</v>
          </cell>
          <cell r="E225">
            <v>2.2074972550568058E-2</v>
          </cell>
          <cell r="F225">
            <v>2.1027797554929076E-2</v>
          </cell>
          <cell r="G225">
            <v>0.51125589063957166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1.1799275483505988E-2</v>
          </cell>
          <cell r="E226">
            <v>2.2262838310076773E-2</v>
          </cell>
          <cell r="F226">
            <v>2.1481862407959382E-2</v>
          </cell>
          <cell r="G226">
            <v>0.51166015348336291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1.1799275483505988E-2</v>
          </cell>
          <cell r="E227">
            <v>2.2262838310076773E-2</v>
          </cell>
          <cell r="F227">
            <v>2.1481862407959382E-2</v>
          </cell>
          <cell r="G227">
            <v>0.51166015348336291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7.6355191919675103E-2</v>
          </cell>
          <cell r="E228">
            <v>0.12056681920074</v>
          </cell>
          <cell r="F228">
            <v>0.11987445088455501</v>
          </cell>
          <cell r="G228">
            <v>10.133629458616101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7.6355191919675103E-2</v>
          </cell>
          <cell r="E229">
            <v>0.19308511577208123</v>
          </cell>
          <cell r="F229">
            <v>0.29930444072305035</v>
          </cell>
          <cell r="G229">
            <v>9.8551533639452629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3.9840710948780299E-2</v>
          </cell>
          <cell r="F230">
            <v>7.6386181334697795E-2</v>
          </cell>
          <cell r="G230">
            <v>3.2740662305095869E-2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2.8671962706941855E-5</v>
          </cell>
          <cell r="F231">
            <v>5.6218296179336661E-5</v>
          </cell>
          <cell r="G231">
            <v>2.4933549467175264E-5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5.4352948088376993E-4</v>
          </cell>
          <cell r="F232">
            <v>1.0421034288499009E-3</v>
          </cell>
          <cell r="G232">
            <v>4.4666660716365488E-4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E233">
            <v>4.54080254360338E-7</v>
          </cell>
          <cell r="F233">
            <v>4.7034541450022803E-7</v>
          </cell>
          <cell r="G233">
            <v>1.1666575134763301E-7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E234">
            <v>4.54080254360338E-7</v>
          </cell>
          <cell r="F234">
            <v>9.2442566886056603E-7</v>
          </cell>
          <cell r="G234">
            <v>1.6740735706076501E-7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1405.0523126144401</v>
          </cell>
          <cell r="E235">
            <v>1141.8993864582501</v>
          </cell>
          <cell r="F235">
            <v>843.91626587571602</v>
          </cell>
          <cell r="G235">
            <v>363.51056458708501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1.5709301792634554</v>
          </cell>
          <cell r="E236">
            <v>1.3085296230128249</v>
          </cell>
          <cell r="F236">
            <v>1.0023380432991076</v>
          </cell>
          <cell r="G236">
            <v>0.43174954999674281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19.168517225299297</v>
          </cell>
          <cell r="E237">
            <v>15.578436377329401</v>
          </cell>
          <cell r="F237">
            <v>11.513182344825596</v>
          </cell>
          <cell r="G237">
            <v>4.9592164336573603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2.9662000000000001E-2</v>
          </cell>
          <cell r="E238">
            <v>2.5707066666666702E-2</v>
          </cell>
          <cell r="F238">
            <v>1.977451412834683E-2</v>
          </cell>
          <cell r="G238">
            <v>9.8872306349368933E-3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0.63186703180042403</v>
          </cell>
          <cell r="F239">
            <v>5.44345240705707E-2</v>
          </cell>
          <cell r="G239">
            <v>5.4023509506064701E-2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51.446553118282601</v>
          </cell>
          <cell r="F240">
            <v>4.4320537282748704</v>
          </cell>
          <cell r="G240">
            <v>4.3985889618587404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0.69710776583038736</v>
          </cell>
          <cell r="F241">
            <v>6.0054928567409849E-2</v>
          </cell>
          <cell r="G241">
            <v>5.9601476447950767E-2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3.3701703354292697E-5</v>
          </cell>
          <cell r="E242">
            <v>8.6727092614388203E-5</v>
          </cell>
          <cell r="F242">
            <v>1.08262597367601E-4</v>
          </cell>
          <cell r="G242">
            <v>1.94344436130508E-4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1.5951450499205442</v>
          </cell>
          <cell r="E243">
            <v>1.5952317770131585</v>
          </cell>
          <cell r="F243">
            <v>5.4582978696596118E-2</v>
          </cell>
          <cell r="G243">
            <v>5.402499382704673E-2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6.6747486115301055E-2</v>
          </cell>
          <cell r="E244">
            <v>0.12320552603735056</v>
          </cell>
          <cell r="F244">
            <v>0.16294982078493675</v>
          </cell>
          <cell r="G244">
            <v>5.1513156040677508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6.6747486115301041E-2</v>
          </cell>
          <cell r="E245">
            <v>0.12320552603735054</v>
          </cell>
          <cell r="F245">
            <v>0.16294982078493675</v>
          </cell>
          <cell r="G245">
            <v>5.1513156040677499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6.6782751358078957E-2</v>
          </cell>
          <cell r="E246">
            <v>0.12332040525149054</v>
          </cell>
          <cell r="F246">
            <v>0.16328879143644312</v>
          </cell>
          <cell r="G246">
            <v>5.1520440847803872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6.6782751358078957E-2</v>
          </cell>
          <cell r="E247">
            <v>0.12332040525149054</v>
          </cell>
          <cell r="F247">
            <v>0.16328879143644312</v>
          </cell>
          <cell r="G247">
            <v>5.1520440847803872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7.5606601181869001E-2</v>
          </cell>
          <cell r="E248">
            <v>0.29134728426079398</v>
          </cell>
          <cell r="F248">
            <v>0.72664828538130599</v>
          </cell>
          <cell r="G248">
            <v>79.621622991245502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7.5606601181869001E-2</v>
          </cell>
          <cell r="E249">
            <v>0.3608750178504368</v>
          </cell>
          <cell r="F249">
            <v>1.0561328125015892</v>
          </cell>
          <cell r="G249">
            <v>76.392382381047923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3.2670351869359369</v>
          </cell>
          <cell r="E250">
            <v>3.7891440337412492</v>
          </cell>
          <cell r="F250">
            <v>15.285327259128964</v>
          </cell>
          <cell r="G250">
            <v>34.050471758626351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8.445966074435253E-2</v>
          </cell>
          <cell r="E251">
            <v>9.803757735508474E-2</v>
          </cell>
          <cell r="F251">
            <v>0.40227520123712857</v>
          </cell>
          <cell r="G251">
            <v>0.91358307970479191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4.4268769470676712E-2</v>
          </cell>
          <cell r="E252">
            <v>5.1343415091344866E-2</v>
          </cell>
          <cell r="F252">
            <v>0.20711825554375268</v>
          </cell>
          <cell r="G252">
            <v>0.46138850621444927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1.1066679274347199E-3</v>
          </cell>
          <cell r="F253">
            <v>0.10602714801337899</v>
          </cell>
          <cell r="G253">
            <v>0.24292845012547901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2.9118439404639228E-2</v>
          </cell>
          <cell r="E254">
            <v>3.3906888880995786E-2</v>
          </cell>
          <cell r="F254">
            <v>0.13995324024580286</v>
          </cell>
          <cell r="G254">
            <v>0.36769697060282647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17.1772175096601</v>
          </cell>
          <cell r="F255">
            <v>16.7996446516999</v>
          </cell>
          <cell r="G255">
            <v>13.1401965793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1274.03475118443</v>
          </cell>
          <cell r="F256">
            <v>1246.0301606927001</v>
          </cell>
          <cell r="G256">
            <v>974.60878457224806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17.381101653266395</v>
          </cell>
          <cell r="F257">
            <v>16.999047212724442</v>
          </cell>
          <cell r="G257">
            <v>13.296163500303484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6.2022357220430899E-5</v>
          </cell>
          <cell r="E258">
            <v>6.8233528510697303E-4</v>
          </cell>
          <cell r="F258">
            <v>1.29024857482846E-4</v>
          </cell>
          <cell r="G258">
            <v>1.54966148470393E-4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17.176583941364921</v>
          </cell>
          <cell r="E259">
            <v>17.17726627665003</v>
          </cell>
          <cell r="F259">
            <v>16.799678988056627</v>
          </cell>
          <cell r="G259">
            <v>13.140105802891691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5.0569751806782762E-2</v>
          </cell>
          <cell r="E260">
            <v>0.25767685509137106</v>
          </cell>
          <cell r="F260">
            <v>0.83989474353535898</v>
          </cell>
          <cell r="G260">
            <v>0.90168934008573387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5.0569751806782755E-2</v>
          </cell>
          <cell r="E261">
            <v>0.25767685509137106</v>
          </cell>
          <cell r="F261">
            <v>0.83989474353535898</v>
          </cell>
          <cell r="G261">
            <v>0.90168934008573365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5.0596646055424667E-2</v>
          </cell>
          <cell r="E262">
            <v>0.25780245519208322</v>
          </cell>
          <cell r="F262">
            <v>0.84029759682189908</v>
          </cell>
          <cell r="G262">
            <v>0.90198917888124974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5.0596646055424667E-2</v>
          </cell>
          <cell r="E263">
            <v>0.25780245519208322</v>
          </cell>
          <cell r="F263">
            <v>0.84029759682189908</v>
          </cell>
          <cell r="G263">
            <v>0.90198917888124974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0.13087563631535801</v>
          </cell>
          <cell r="E264">
            <v>2.7964818984264701</v>
          </cell>
          <cell r="F264">
            <v>8.9597158497664395</v>
          </cell>
          <cell r="G264">
            <v>2.4705945667377902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0.13087563631535801</v>
          </cell>
          <cell r="E265">
            <v>2.8863152801163219</v>
          </cell>
          <cell r="F265">
            <v>11.558374882857619</v>
          </cell>
          <cell r="G265">
            <v>12.286204448318292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4.5354458074094932</v>
          </cell>
          <cell r="E266">
            <v>8.2237044535167723</v>
          </cell>
          <cell r="F266">
            <v>7.8303268598205058</v>
          </cell>
          <cell r="G266">
            <v>6.139456060877249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6.7771297503233088E-2</v>
          </cell>
          <cell r="E267">
            <v>0.12313483993233861</v>
          </cell>
          <cell r="F267">
            <v>0.11731802480201163</v>
          </cell>
          <cell r="G267">
            <v>9.2133834685650076E-2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6.145590524945109E-2</v>
          </cell>
          <cell r="E268">
            <v>0.11143230966824884</v>
          </cell>
          <cell r="F268">
            <v>0.1061019899704676</v>
          </cell>
          <cell r="G268">
            <v>8.3190461529502047E-2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6.40510992276485E-4</v>
          </cell>
          <cell r="F269">
            <v>1.3877036595436199E-3</v>
          </cell>
          <cell r="G269">
            <v>1.2913093858710201E-3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2.9227291598546701E-2</v>
          </cell>
          <cell r="E270">
            <v>4.287038904067518E-2</v>
          </cell>
          <cell r="F270">
            <v>4.4279489384124904E-2</v>
          </cell>
          <cell r="G270">
            <v>4.2047014563877522E-2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0.15882112619722885</v>
          </cell>
          <cell r="E271">
            <v>0.90086895880728812</v>
          </cell>
          <cell r="F271">
            <v>2.8601770073321102</v>
          </cell>
          <cell r="G271">
            <v>9.9215138018830196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0.15882112619722885</v>
          </cell>
          <cell r="E272">
            <v>0.9008689588072879</v>
          </cell>
          <cell r="F272">
            <v>2.8601770073321102</v>
          </cell>
          <cell r="G272">
            <v>9.9215138018830178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0.15885651415722085</v>
          </cell>
          <cell r="E273">
            <v>0.90105906639041244</v>
          </cell>
          <cell r="F273">
            <v>2.8607835456059303</v>
          </cell>
          <cell r="G273">
            <v>9.9227200774803759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0.15885651415722085</v>
          </cell>
          <cell r="E274">
            <v>0.90105906639041244</v>
          </cell>
          <cell r="F274">
            <v>2.8607835456059303</v>
          </cell>
          <cell r="G274">
            <v>9.9227200774803759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0.197545739450847</v>
          </cell>
          <cell r="E275">
            <v>10.178512011513</v>
          </cell>
          <cell r="F275">
            <v>32.676379330707597</v>
          </cell>
          <cell r="G275">
            <v>122.97878039026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0.197545739450847</v>
          </cell>
          <cell r="E276">
            <v>10.234798472407711</v>
          </cell>
          <cell r="F276">
            <v>41.882752917081831</v>
          </cell>
          <cell r="G276">
            <v>152.65622127286977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4.6545948678413342</v>
          </cell>
          <cell r="E277">
            <v>2.792859903781475</v>
          </cell>
          <cell r="F277">
            <v>2.9425022339760201</v>
          </cell>
          <cell r="G277">
            <v>2.8273326092135136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4.600524498108579E-2</v>
          </cell>
          <cell r="E278">
            <v>2.7645619962151022E-2</v>
          </cell>
          <cell r="F278">
            <v>2.9157475847169538E-2</v>
          </cell>
          <cell r="G278">
            <v>2.8074850558285722E-2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6.3070391163161738E-2</v>
          </cell>
          <cell r="E279">
            <v>3.7843630132540322E-2</v>
          </cell>
          <cell r="F279">
            <v>3.9871303983414819E-2</v>
          </cell>
          <cell r="G279">
            <v>3.8310739962242629E-2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4.1190333960884E-4</v>
          </cell>
          <cell r="F280">
            <v>5.8548283718594504E-4</v>
          </cell>
          <cell r="G280">
            <v>5.83882153508847E-4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2.1262231752497099E-2</v>
          </cell>
          <cell r="E281">
            <v>1.1181518243884345E-2</v>
          </cell>
          <cell r="F281">
            <v>1.179073799444369E-2</v>
          </cell>
          <cell r="G281">
            <v>1.2391823429624325E-2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4722.2922433225003</v>
          </cell>
          <cell r="E282">
            <v>3936.6197371253902</v>
          </cell>
          <cell r="F282">
            <v>3142.65624055642</v>
          </cell>
          <cell r="G282">
            <v>967.89240731566997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18.303003603260866</v>
          </cell>
          <cell r="E283">
            <v>15.605046012512398</v>
          </cell>
          <cell r="F283">
            <v>12.873489581415408</v>
          </cell>
          <cell r="G283">
            <v>4.1782672913611361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63.987699774017699</v>
          </cell>
          <cell r="E284">
            <v>53.341730855357618</v>
          </cell>
          <cell r="F284">
            <v>42.583417893718476</v>
          </cell>
          <cell r="G284">
            <v>13.115073269860021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2.4943270000000002</v>
          </cell>
          <cell r="E285">
            <v>2.16175006666667</v>
          </cell>
          <cell r="F285">
            <v>1.6628831723417365</v>
          </cell>
          <cell r="G285">
            <v>0.83140870666471711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3.0645906158321168</v>
          </cell>
          <cell r="E286">
            <v>2.4163859788710123</v>
          </cell>
          <cell r="F286">
            <v>2.5641590884102534</v>
          </cell>
          <cell r="G286">
            <v>2.4359988842438791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2.8063081863278171E-2</v>
          </cell>
          <cell r="E287">
            <v>2.215983086626961E-2</v>
          </cell>
          <cell r="F287">
            <v>2.3534437889995648E-2</v>
          </cell>
          <cell r="G287">
            <v>2.2390303320734085E-2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4.1525618100706159E-2</v>
          </cell>
          <cell r="E288">
            <v>3.2742357437276597E-2</v>
          </cell>
          <cell r="F288">
            <v>3.4744703094989879E-2</v>
          </cell>
          <cell r="G288">
            <v>3.3008114962654225E-2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2.7554196038720799E-4</v>
          </cell>
          <cell r="F289">
            <v>3.59167396195719E-4</v>
          </cell>
          <cell r="G289">
            <v>2.9774298597118603E-4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1.2888283208703503E-2</v>
          </cell>
          <cell r="E290">
            <v>9.1276851779107174E-3</v>
          </cell>
          <cell r="F290">
            <v>9.5107989059867309E-3</v>
          </cell>
          <cell r="G290">
            <v>9.8275356835162142E-3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4168.0090186930302</v>
          </cell>
          <cell r="E291">
            <v>3569.7839899390901</v>
          </cell>
          <cell r="F291">
            <v>2519.1008492471201</v>
          </cell>
          <cell r="G291">
            <v>1108.66067808456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19.277382899149952</v>
          </cell>
          <cell r="E292">
            <v>17.235982275638197</v>
          </cell>
          <cell r="F292">
            <v>12.930854952052627</v>
          </cell>
          <cell r="G292">
            <v>6.254137252445382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56.862333133602064</v>
          </cell>
          <cell r="E293">
            <v>48.701009412538738</v>
          </cell>
          <cell r="F293">
            <v>34.366996579087619</v>
          </cell>
          <cell r="G293">
            <v>15.124975144400606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1.059558</v>
          </cell>
          <cell r="E294">
            <v>0.91828359999999998</v>
          </cell>
          <cell r="F294">
            <v>0.70636159731272663</v>
          </cell>
          <cell r="G294">
            <v>0.35318452728045824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1.0757720586759671E-3</v>
          </cell>
          <cell r="F295">
            <v>1.6550175959095734E-3</v>
          </cell>
          <cell r="G295">
            <v>7.812796857924343E-3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5.9062578061176599E-4</v>
          </cell>
          <cell r="F296">
            <v>9.0864607574338491E-4</v>
          </cell>
          <cell r="G296">
            <v>4.2894209844528356E-3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5.0814008139580431E-3</v>
          </cell>
          <cell r="E297">
            <v>1.2680942498075099E-2</v>
          </cell>
          <cell r="F297">
            <v>1.6205768742515166E-2</v>
          </cell>
          <cell r="G297">
            <v>3.4214699454699876E-2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3.3805307952949662E-3</v>
          </cell>
          <cell r="E298">
            <v>8.4363186840827678E-3</v>
          </cell>
          <cell r="F298">
            <v>1.0781298760179536E-2</v>
          </cell>
          <cell r="G298">
            <v>2.2762196762880653E-2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1.0644147748453548E-3</v>
          </cell>
          <cell r="F299">
            <v>1.6359446313481362E-3</v>
          </cell>
          <cell r="G299">
            <v>8.0513327109602798E-3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5.8439034758114719E-4</v>
          </cell>
          <cell r="F300">
            <v>8.981745409123497E-4</v>
          </cell>
          <cell r="G300">
            <v>4.4203831369525369E-3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3.5370833501607003E-2</v>
          </cell>
          <cell r="G301">
            <v>3.726366700321395E-2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0.65830556959273911</v>
          </cell>
          <cell r="G302">
            <v>0.7379148962536346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5.9209317144476969E-2</v>
          </cell>
          <cell r="F303">
            <v>0.20166771654934057</v>
          </cell>
          <cell r="G303">
            <v>1.4655373942564514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4.2257203478147223E-2</v>
          </cell>
          <cell r="F304">
            <v>0.14392859340708863</v>
          </cell>
          <cell r="G304">
            <v>1.0459420047492505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2.6362961719682484E-5</v>
          </cell>
          <cell r="E305">
            <v>1.0772218405773418E-3</v>
          </cell>
          <cell r="F305">
            <v>3.5834232120381644E-3</v>
          </cell>
          <cell r="G305">
            <v>1.7245813665665508E-2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1.753862905357987E-5</v>
          </cell>
          <cell r="E306">
            <v>7.1664915616044447E-4</v>
          </cell>
          <cell r="F306">
            <v>2.3839631952658324E-3</v>
          </cell>
          <cell r="G306">
            <v>1.1473215028926158E-2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110.95518214881901</v>
          </cell>
          <cell r="E307">
            <v>103.272240835547</v>
          </cell>
          <cell r="F307">
            <v>70.184337389865803</v>
          </cell>
          <cell r="G307">
            <v>33.234076652798102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1.1594141562392106</v>
          </cell>
          <cell r="E308">
            <v>1.1016242060617709</v>
          </cell>
          <cell r="F308">
            <v>0.77159801471995959</v>
          </cell>
          <cell r="G308">
            <v>0.38346685797662039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1.5034577526940216</v>
          </cell>
          <cell r="E309">
            <v>1.3993528568502263</v>
          </cell>
          <cell r="F309">
            <v>0.95100728170549897</v>
          </cell>
          <cell r="G309">
            <v>0.45032624190783321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0.55779800000000002</v>
          </cell>
          <cell r="E310">
            <v>0.48342493333333297</v>
          </cell>
          <cell r="F310">
            <v>0.3668968759596607</v>
          </cell>
          <cell r="G310">
            <v>0.18437641182701023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2.8813875849072225E-2</v>
          </cell>
          <cell r="F311">
            <v>3.9056693935354547E-2</v>
          </cell>
          <cell r="G311">
            <v>6.6547356831063165E-2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2.1512532490701893E-2</v>
          </cell>
          <cell r="F312">
            <v>2.9159853456187105E-2</v>
          </cell>
          <cell r="G312">
            <v>4.9684470895111313E-2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2.6640050758627798E-2</v>
          </cell>
          <cell r="F313">
            <v>0.16251655920287567</v>
          </cell>
          <cell r="G313">
            <v>1.0366640228552877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1.901278548490257E-2</v>
          </cell>
          <cell r="F314">
            <v>0.11598673387917731</v>
          </cell>
          <cell r="G314">
            <v>0.73985860106067414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7.716923570566925E-3</v>
          </cell>
          <cell r="F315">
            <v>1.5455883497394168E-2</v>
          </cell>
          <cell r="G315">
            <v>3.7797970542508399E-2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5.7614799865749241E-3</v>
          </cell>
          <cell r="F316">
            <v>1.1539412387691706E-2</v>
          </cell>
          <cell r="G316">
            <v>2.8220086517950566E-2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1.393826297542462</v>
          </cell>
          <cell r="E317">
            <v>1.5110679938616918</v>
          </cell>
          <cell r="F317">
            <v>1.9063093946908405</v>
          </cell>
          <cell r="G317">
            <v>0.25595120939034577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7.9224920539807727E-3</v>
          </cell>
          <cell r="E318">
            <v>8.5888924577628162E-3</v>
          </cell>
          <cell r="F318">
            <v>1.0835439866858306E-2</v>
          </cell>
          <cell r="G318">
            <v>1.4548236219800634E-3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2.4713232225930182E-2</v>
          </cell>
          <cell r="E319">
            <v>2.6791985706767552E-2</v>
          </cell>
          <cell r="F319">
            <v>3.3799811962603565E-2</v>
          </cell>
          <cell r="G319">
            <v>4.5381420104671309E-3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1.8443633626890098E-5</v>
          </cell>
          <cell r="E320">
            <v>4.36303469727423E-5</v>
          </cell>
          <cell r="F320">
            <v>3.06290166665955E-5</v>
          </cell>
          <cell r="G320">
            <v>3.5326015450105903E-5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5.9968350378086484E-4</v>
          </cell>
          <cell r="E321">
            <v>7.6784045871339398E-4</v>
          </cell>
          <cell r="F321">
            <v>7.9978267164797711E-4</v>
          </cell>
          <cell r="G321">
            <v>1.0676421736358104E-4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2.3310932083846735E-2</v>
          </cell>
          <cell r="E322">
            <v>8.8739856544527054E-2</v>
          </cell>
          <cell r="F322">
            <v>0.12865528017552175</v>
          </cell>
          <cell r="G322">
            <v>1.9700503006695596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3.4212479778317061E-2</v>
          </cell>
          <cell r="E323">
            <v>0.13023977491076785</v>
          </cell>
          <cell r="F323">
            <v>0.18882197226377082</v>
          </cell>
          <cell r="G323">
            <v>2.8913604068466117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3.6409147471264101E-3</v>
          </cell>
          <cell r="F324">
            <v>2.90338983637267E-3</v>
          </cell>
          <cell r="G324">
            <v>0.13717751973106601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1.6973488371809123E-3</v>
          </cell>
          <cell r="E325">
            <v>6.2323728735079204E-3</v>
          </cell>
          <cell r="F325">
            <v>9.1356317991614939E-3</v>
          </cell>
          <cell r="G325">
            <v>0.14502022408433934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2.9388554062264894E-4</v>
          </cell>
          <cell r="E326">
            <v>1.8922742822499346E-3</v>
          </cell>
          <cell r="F326">
            <v>3.5947591062320981E-3</v>
          </cell>
          <cell r="G326">
            <v>6.4518332748812454E-2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7.7605176806777251E-4</v>
          </cell>
          <cell r="E327">
            <v>4.8493922540366078E-3</v>
          </cell>
          <cell r="F327">
            <v>8.9666266559661045E-3</v>
          </cell>
          <cell r="G327">
            <v>0.14441192451366688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3.4795533847902599E-5</v>
          </cell>
          <cell r="F328">
            <v>4.0382270139361801E-5</v>
          </cell>
          <cell r="G328">
            <v>1.38828264679686E-3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3.3518861090426929E-6</v>
          </cell>
          <cell r="E329">
            <v>4.1472429544573534E-5</v>
          </cell>
          <cell r="F329">
            <v>8.0330485173202109E-5</v>
          </cell>
          <cell r="G329">
            <v>1.4039108320665751E-3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6.2735320001902596E-4</v>
          </cell>
          <cell r="E330">
            <v>1.5127908130867719E-3</v>
          </cell>
          <cell r="F330">
            <v>2.3457188862185613E-3</v>
          </cell>
          <cell r="G330">
            <v>5.7387157735929409E-2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2.2797862956962425E-3</v>
          </cell>
          <cell r="E331">
            <v>5.4014622191960885E-3</v>
          </cell>
          <cell r="F331">
            <v>8.1850997088965538E-3</v>
          </cell>
          <cell r="G331">
            <v>0.17730714657358523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1.2083940085619401E-5</v>
          </cell>
          <cell r="F332">
            <v>1.8752707353731001E-5</v>
          </cell>
          <cell r="G332">
            <v>1.2227157285663399E-3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1.0868309168130718E-5</v>
          </cell>
          <cell r="E333">
            <v>3.3740361822773056E-5</v>
          </cell>
          <cell r="F333">
            <v>5.2308625271395459E-5</v>
          </cell>
          <cell r="G333">
            <v>1.2470974897116659E-3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2.6219367354665565E-4</v>
          </cell>
          <cell r="E334">
            <v>5.5589078785311886E-4</v>
          </cell>
          <cell r="F334">
            <v>8.6570836953777112E-4</v>
          </cell>
          <cell r="G334">
            <v>1.2194006584594366E-2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1.4329840418077231E-3</v>
          </cell>
          <cell r="E335">
            <v>2.9856676865509242E-3</v>
          </cell>
          <cell r="F335">
            <v>4.5414946749020501E-3</v>
          </cell>
          <cell r="G335">
            <v>5.6761723069708468E-2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5.41825113763563E-6</v>
          </cell>
          <cell r="F336">
            <v>7.1780910227926998E-6</v>
          </cell>
          <cell r="G336">
            <v>2.5490845542920502E-4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2.2012400815327492E-6</v>
          </cell>
          <cell r="E337">
            <v>9.8352419257369269E-6</v>
          </cell>
          <cell r="F337">
            <v>1.6831806149670441E-5</v>
          </cell>
          <cell r="G337">
            <v>2.6705083904713528E-4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1.3437324189129353E-4</v>
          </cell>
          <cell r="F338">
            <v>2.2259116902714863E-4</v>
          </cell>
          <cell r="G338">
            <v>1.5214388766451322E-4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1.0627911211982919E-3</v>
          </cell>
          <cell r="F339">
            <v>1.717344954885097E-3</v>
          </cell>
          <cell r="G339">
            <v>1.0936948487897124E-3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3.1037136138987199E-6</v>
          </cell>
          <cell r="F340">
            <v>2.6866503474644701E-6</v>
          </cell>
          <cell r="G340">
            <v>2.6357402782433799E-6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3.1037136138987199E-6</v>
          </cell>
          <cell r="F341">
            <v>5.3288663525052872E-6</v>
          </cell>
          <cell r="G341">
            <v>3.7400583738887202E-6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2.1293432707779118E-2</v>
          </cell>
          <cell r="E342">
            <v>3.9843895738932503E-2</v>
          </cell>
          <cell r="F342">
            <v>3.7862782131930714E-2</v>
          </cell>
          <cell r="G342">
            <v>0.87232245505684225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1.1753470285554044E-2</v>
          </cell>
          <cell r="E343">
            <v>2.1992886307014767E-2</v>
          </cell>
          <cell r="F343">
            <v>2.0899358540414026E-2</v>
          </cell>
          <cell r="G343">
            <v>0.48150132464017859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9.4895089848303195E-4</v>
          </cell>
          <cell r="E344">
            <v>1.5139383780664499E-3</v>
          </cell>
          <cell r="F344">
            <v>1.52900018633736E-3</v>
          </cell>
          <cell r="G344">
            <v>0.13274624474909699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2.4198384931383926E-3</v>
          </cell>
          <cell r="E345">
            <v>4.3310014059226428E-3</v>
          </cell>
          <cell r="F345">
            <v>5.5780900361345111E-3</v>
          </cell>
          <cell r="G345">
            <v>0.13048795164583002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15.3266526020894</v>
          </cell>
          <cell r="E346">
            <v>10.8603436332081</v>
          </cell>
          <cell r="F346">
            <v>14.877501349025</v>
          </cell>
          <cell r="G346">
            <v>3.4697702695636101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0.29459975544247907</v>
          </cell>
          <cell r="E347">
            <v>0.21484073599650791</v>
          </cell>
          <cell r="F347">
            <v>0.29195931596873653</v>
          </cell>
          <cell r="G347">
            <v>7.4326327389226982E-2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0.27174915961151475</v>
          </cell>
          <cell r="E348">
            <v>0.19255928427673985</v>
          </cell>
          <cell r="F348">
            <v>0.26378548491179105</v>
          </cell>
          <cell r="G348">
            <v>6.152074946034769E-2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2.3790307969536788E-2</v>
          </cell>
          <cell r="E349">
            <v>2.0808875239340906E-2</v>
          </cell>
          <cell r="F349">
            <v>2.7220217970123292E-2</v>
          </cell>
          <cell r="G349">
            <v>1.2361840836107522E-2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2.1578738839249396E-3</v>
          </cell>
          <cell r="F350">
            <v>1.8849027709331799E-3</v>
          </cell>
          <cell r="G350">
            <v>1.9525443601306315E-3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3.2050705670831E-5</v>
          </cell>
          <cell r="E351">
            <v>3.5470059228738299E-6</v>
          </cell>
          <cell r="F351">
            <v>4.1024593838111601E-6</v>
          </cell>
          <cell r="G351">
            <v>4.7589460780098196E-6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0.95964974378731482</v>
          </cell>
          <cell r="E352">
            <v>0.95965329079323769</v>
          </cell>
          <cell r="F352">
            <v>0.95965739325262156</v>
          </cell>
          <cell r="G352">
            <v>0.95966215219869955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9.7704854510058434E-2</v>
          </cell>
          <cell r="E353">
            <v>0.1801618451461148</v>
          </cell>
          <cell r="F353">
            <v>0.23821184453865535</v>
          </cell>
          <cell r="G353">
            <v>7.5174324295340993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6.6747486115301083E-2</v>
          </cell>
          <cell r="E354">
            <v>0.12307832929795047</v>
          </cell>
          <cell r="F354">
            <v>0.16273543280500249</v>
          </cell>
          <cell r="G354">
            <v>5.1355658757097356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5.2628818581012897E-4</v>
          </cell>
          <cell r="E355">
            <v>2.0499909564197102E-3</v>
          </cell>
          <cell r="F355">
            <v>5.1972863012349196E-3</v>
          </cell>
          <cell r="G355">
            <v>0.58559968210585001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7.8075998491253544E-3</v>
          </cell>
          <cell r="E356">
            <v>1.3672975628669938E-2</v>
          </cell>
          <cell r="F356">
            <v>1.8215287595082352E-2</v>
          </cell>
          <cell r="G356">
            <v>0.57038143366586347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2.7237543907744723E-2</v>
          </cell>
          <cell r="E357">
            <v>2.4053218470938761E-2</v>
          </cell>
          <cell r="F357">
            <v>1.8182701675714088E-2</v>
          </cell>
          <cell r="G357">
            <v>8.7347022263688911E-3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3.9519211782301972E-2</v>
          </cell>
          <cell r="E358">
            <v>3.4576786983343169E-2</v>
          </cell>
          <cell r="F358">
            <v>2.5780761281755226E-2</v>
          </cell>
          <cell r="G358">
            <v>1.2384698213797668E-2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1.9499999999999999E-3</v>
          </cell>
          <cell r="E359">
            <v>1.6900000000000001E-3</v>
          </cell>
          <cell r="F359">
            <v>1.2999221587943475E-3</v>
          </cell>
          <cell r="G359">
            <v>6.4995158468443884E-4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6.7634652364100198E-2</v>
          </cell>
          <cell r="E360">
            <v>0.3445216291107594</v>
          </cell>
          <cell r="F360">
            <v>1.1230997299616892</v>
          </cell>
          <cell r="G360">
            <v>1.1811467051227369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5.0569751806782734E-2</v>
          </cell>
          <cell r="E361">
            <v>0.25759536963994467</v>
          </cell>
          <cell r="F361">
            <v>0.83973041352650502</v>
          </cell>
          <cell r="G361">
            <v>0.88313155516653929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7.90774924322943E-4</v>
          </cell>
          <cell r="E362">
            <v>1.7076925098765201E-2</v>
          </cell>
          <cell r="F362">
            <v>5.5601956747644898E-2</v>
          </cell>
          <cell r="G362">
            <v>1.5758596419597402E-2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5.0070995158856962E-3</v>
          </cell>
          <cell r="E363">
            <v>2.3739012591040397E-2</v>
          </cell>
          <cell r="F363">
            <v>7.7396536904448643E-2</v>
          </cell>
          <cell r="G363">
            <v>8.1312508161985347E-2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0.20566905811202962</v>
          </cell>
          <cell r="E364">
            <v>1.166441124893274</v>
          </cell>
          <cell r="F364">
            <v>3.7035806647945315</v>
          </cell>
          <cell r="G364">
            <v>12.830236035830476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0.15882112619722877</v>
          </cell>
          <cell r="E365">
            <v>0.90074557057290427</v>
          </cell>
          <cell r="F365">
            <v>2.8599676467840207</v>
          </cell>
          <cell r="G365">
            <v>9.907725329674534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1.2244687320786701E-3</v>
          </cell>
          <cell r="E366">
            <v>6.3712446320510596E-2</v>
          </cell>
          <cell r="F366">
            <v>0.20760759458165901</v>
          </cell>
          <cell r="G366">
            <v>0.80138380440179702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1.6424914539134985E-2</v>
          </cell>
          <cell r="E367">
            <v>9.1926390101677607E-2</v>
          </cell>
          <cell r="F367">
            <v>0.29194670110932724</v>
          </cell>
          <cell r="G367">
            <v>1.0104067736591091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0.110787386585197</v>
          </cell>
          <cell r="F368">
            <v>0.2208265556992727</v>
          </cell>
          <cell r="G368">
            <v>1.124604458097174E-2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2.3618440748970272E-4</v>
          </cell>
          <cell r="F369">
            <v>4.8180878759464105E-4</v>
          </cell>
          <cell r="G369">
            <v>2.5681956875642466E-5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1.9643153649857598E-3</v>
          </cell>
          <cell r="F370">
            <v>3.9153644627530695E-3</v>
          </cell>
          <cell r="G370">
            <v>1.993979535633284E-4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6.19252912558567E-6</v>
          </cell>
          <cell r="F371">
            <v>4.8771289840161897E-6</v>
          </cell>
          <cell r="G371">
            <v>1.74750640659034E-7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6.19252912558567E-6</v>
          </cell>
          <cell r="F372">
            <v>1.0978638740556517E-5</v>
          </cell>
          <cell r="G372">
            <v>3.204973580417008E-7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3.986184500137294E-4</v>
          </cell>
          <cell r="F373">
            <v>6.0023490627610608E-4</v>
          </cell>
          <cell r="G373">
            <v>1.9825360342799568E-4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8.5705334089631626E-4</v>
          </cell>
          <cell r="F374">
            <v>1.268651043729762E-3</v>
          </cell>
          <cell r="G374">
            <v>4.0119301108514343E-4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3.0327895704679199E-5</v>
          </cell>
          <cell r="F375">
            <v>1.6029146216927301E-5</v>
          </cell>
          <cell r="G375">
            <v>3.51891015236377E-6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3.0327895704679199E-5</v>
          </cell>
          <cell r="F376">
            <v>4.6281098085736317E-5</v>
          </cell>
          <cell r="G376">
            <v>1.1130429089977705E-5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8.1218587168048098E-2</v>
          </cell>
          <cell r="F377">
            <v>0.21893952163029862</v>
          </cell>
          <cell r="G377">
            <v>1.5961794898882359E-2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1.2240112878893181E-4</v>
          </cell>
          <cell r="F378">
            <v>3.3960205140559245E-4</v>
          </cell>
          <cell r="G378">
            <v>2.5594388805992501E-5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1.4400458717739014E-3</v>
          </cell>
          <cell r="F379">
            <v>3.8819064118847287E-3</v>
          </cell>
          <cell r="G379">
            <v>2.8301054785252386E-4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3.0337087329467001E-6</v>
          </cell>
          <cell r="F380">
            <v>4.2068283311581399E-6</v>
          </cell>
          <cell r="G380">
            <v>9.7472314277058497E-8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3.0337087329467001E-6</v>
          </cell>
          <cell r="F381">
            <v>7.24053706410484E-6</v>
          </cell>
          <cell r="G381">
            <v>1.9210793695783949E-7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5.8860143580549584E-2</v>
          </cell>
          <cell r="E382">
            <v>8.1895375189181507</v>
          </cell>
          <cell r="F382">
            <v>19.044907668835005</v>
          </cell>
          <cell r="G382">
            <v>1.0091964542891921E-2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9.9507503282491807E-5</v>
          </cell>
          <cell r="E383">
            <v>1.4355094916924624E-2</v>
          </cell>
          <cell r="F383">
            <v>3.4402343355592377E-2</v>
          </cell>
          <cell r="G383">
            <v>1.7568474188955871E-5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8.0300332306343218E-4</v>
          </cell>
          <cell r="E384">
            <v>0.1117262963017483</v>
          </cell>
          <cell r="F384">
            <v>0.2598213870236698</v>
          </cell>
          <cell r="G384">
            <v>1.3768028025773447E-4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2.73607307003089E-4</v>
          </cell>
          <cell r="F385">
            <v>3.7842408511320802E-4</v>
          </cell>
          <cell r="G385">
            <v>3.9788814822088701E-8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2.7440867731463224E-4</v>
          </cell>
          <cell r="F386">
            <v>6.5279312099015467E-4</v>
          </cell>
          <cell r="G386">
            <v>-3.0944659718467552E-7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7.05283275325298E-2</v>
          </cell>
          <cell r="F387">
            <v>0.20012715306198181</v>
          </cell>
          <cell r="G387">
            <v>1.5121312599620899E-2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7.0556005475855426E-5</v>
          </cell>
          <cell r="F388">
            <v>2.0623028549097061E-4</v>
          </cell>
          <cell r="G388">
            <v>1.6095691406508236E-5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1.2505022612150673E-3</v>
          </cell>
          <cell r="F389">
            <v>3.5483537776947083E-3</v>
          </cell>
          <cell r="G389">
            <v>2.6810837942590251E-4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1.8196409797684899E-6</v>
          </cell>
          <cell r="F390">
            <v>2.73544396189934E-6</v>
          </cell>
          <cell r="G390">
            <v>9.6631523940386306E-8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1.8196409797684899E-6</v>
          </cell>
          <cell r="F391">
            <v>4.5550849416678297E-6</v>
          </cell>
          <cell r="G391">
            <v>2.408099261331397E-7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7.4807299944246504</v>
          </cell>
          <cell r="E392">
            <v>8.2095989869952213</v>
          </cell>
          <cell r="F392">
            <v>11.932413284119193</v>
          </cell>
          <cell r="G392">
            <v>6.7367896056592644E-2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8.9264446046589084E-3</v>
          </cell>
          <cell r="E393">
            <v>9.8384883571199025E-3</v>
          </cell>
          <cell r="F393">
            <v>1.4514006426720464E-2</v>
          </cell>
          <cell r="G393">
            <v>8.3368882041242053E-5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0.10205634371657067</v>
          </cell>
          <cell r="E394">
            <v>0.11199998618001675</v>
          </cell>
          <cell r="F394">
            <v>0.16278872147502296</v>
          </cell>
          <cell r="G394">
            <v>9.190708875387811E-4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1.0076138085787199E-5</v>
          </cell>
          <cell r="F395">
            <v>5.3217679748052702E-5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1.8032391937432106E-4</v>
          </cell>
          <cell r="E396">
            <v>2.1899623495762508E-4</v>
          </cell>
          <cell r="F396">
            <v>2.7482179730105549E-4</v>
          </cell>
          <cell r="G396">
            <v>-3.6403572291920949E-7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2.6729202998897701E-2</v>
          </cell>
          <cell r="F397">
            <v>7.0659600606572698E-2</v>
          </cell>
          <cell r="G397">
            <v>2.2357174850516089E-2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1.7861722493264039E-5</v>
          </cell>
          <cell r="F398">
            <v>4.8579058700825942E-5</v>
          </cell>
          <cell r="G398">
            <v>1.5861286264862542E-5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4.7392203898754696E-4</v>
          </cell>
          <cell r="F399">
            <v>1.2528297979888775E-3</v>
          </cell>
          <cell r="G399">
            <v>3.9640380940631365E-4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E400">
            <v>2.37582242027549E-7</v>
          </cell>
          <cell r="F400">
            <v>5.0168272991460196E-7</v>
          </cell>
          <cell r="G400">
            <v>5.0439740103103203E-8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E401">
            <v>2.37582242027549E-7</v>
          </cell>
          <cell r="F401">
            <v>7.3926497194215099E-7</v>
          </cell>
          <cell r="G401">
            <v>-3.8258926339991079E-8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45.299253093273492</v>
          </cell>
          <cell r="E402">
            <v>63.898668878553835</v>
          </cell>
          <cell r="F402">
            <v>110.46359536645299</v>
          </cell>
          <cell r="G402">
            <v>9.04404350153203E-2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3.5812692154139132E-2</v>
          </cell>
          <cell r="E403">
            <v>5.0688547996695775E-2</v>
          </cell>
          <cell r="F403">
            <v>9.0661543101879502E-2</v>
          </cell>
          <cell r="G403">
            <v>7.4926495595288692E-5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0.617997995815463</v>
          </cell>
          <cell r="E404">
            <v>0.87174173094889229</v>
          </cell>
          <cell r="F404">
            <v>1.5070067580689368</v>
          </cell>
          <cell r="G404">
            <v>1.2338394954341072E-3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2.2551065255541901E-5</v>
          </cell>
          <cell r="F405">
            <v>7.3383923175598996E-4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8.0105205478635374E-4</v>
          </cell>
          <cell r="E406">
            <v>9.7110347863075468E-4</v>
          </cell>
          <cell r="F406">
            <v>1.7081401799494333E-3</v>
          </cell>
          <cell r="G406">
            <v>-2.5308223818194808E-7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1.1318876772878821</v>
          </cell>
          <cell r="E407">
            <v>0.2884424084069413</v>
          </cell>
          <cell r="F407">
            <v>0.49084327192584087</v>
          </cell>
          <cell r="G407">
            <v>7.591504480191559E-2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5.9677320673333335E-4</v>
          </cell>
          <cell r="E408">
            <v>1.53348900256659E-4</v>
          </cell>
          <cell r="F408">
            <v>2.6267269298269107E-4</v>
          </cell>
          <cell r="G408">
            <v>4.2226081591331143E-5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1.5441850986192118E-2</v>
          </cell>
          <cell r="E409">
            <v>3.9350942483893777E-3</v>
          </cell>
          <cell r="F409">
            <v>6.696361144963723E-3</v>
          </cell>
          <cell r="G409">
            <v>1.0356759181707432E-3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E410">
            <v>2.8238334902776801E-7</v>
          </cell>
          <cell r="F410">
            <v>3.0109913260809802E-7</v>
          </cell>
          <cell r="G410">
            <v>2.4536977991481498E-8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9.6313990647584433E-6</v>
          </cell>
          <cell r="E411">
            <v>1.8006710858634692E-6</v>
          </cell>
          <cell r="F411">
            <v>3.4677617748108262E-6</v>
          </cell>
          <cell r="G411">
            <v>-2.0466343003073801E-7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5.0110853059788303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5.0110853059788303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1.00679151797333E-2</v>
          </cell>
          <cell r="E414">
            <v>9.1708866803655795E-3</v>
          </cell>
          <cell r="F414">
            <v>8.9167855403469599E-3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1.776210442048535E-3</v>
          </cell>
          <cell r="E415">
            <v>1.2970621791852863E-3</v>
          </cell>
          <cell r="F415">
            <v>7.9312271801180827E-4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1.785091343924339E-4</v>
          </cell>
          <cell r="E416">
            <v>1.6260437376534707E-4</v>
          </cell>
          <cell r="F416">
            <v>1.5809903440331505E-4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2.9722792607802899E-5</v>
          </cell>
          <cell r="E417">
            <v>2.3778234086242301E-5</v>
          </cell>
          <cell r="F417">
            <v>1.4420849856955918E-5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1.26981517733958</v>
          </cell>
          <cell r="E418">
            <v>1.2687951942556699</v>
          </cell>
          <cell r="F418">
            <v>1.26114876922759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0.24198694105284999</v>
          </cell>
          <cell r="E419">
            <v>0.19368767145318413</v>
          </cell>
          <cell r="F419">
            <v>0.12079792672857369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1.7323535843650411E-2</v>
          </cell>
          <cell r="E420">
            <v>1.7309620658331071E-2</v>
          </cell>
          <cell r="F420">
            <v>1.7205303809380557E-2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4.5678362175525303E-3</v>
          </cell>
          <cell r="E421">
            <v>3.6542689740420198E-3</v>
          </cell>
          <cell r="F421">
            <v>2.2763662538506273E-3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3.405786841405966E-2</v>
          </cell>
          <cell r="E422">
            <v>0.13019098473622553</v>
          </cell>
          <cell r="F422">
            <v>0.18881669904428633</v>
          </cell>
          <cell r="G422">
            <v>2.9074355069144273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3.405786841405966E-2</v>
          </cell>
          <cell r="E423">
            <v>0.13019098473622553</v>
          </cell>
          <cell r="F423">
            <v>0.18881669904428633</v>
          </cell>
          <cell r="G423">
            <v>2.9074355069144273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5.8779593473253598E-3</v>
          </cell>
          <cell r="E424">
            <v>8.5087022225088203E-3</v>
          </cell>
          <cell r="F424">
            <v>6.3187486934449203E-3</v>
          </cell>
          <cell r="G424">
            <v>0.28935206539456498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5.8779593473253598E-3</v>
          </cell>
          <cell r="E425">
            <v>1.4386661569834199E-2</v>
          </cell>
          <cell r="F425">
            <v>2.07054102632791E-2</v>
          </cell>
          <cell r="G425">
            <v>0.30735303594940799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1.4168661287990444E-5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6.0446052890327579E-5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2.43526506189573E-7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2.43526506189573E-7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1.6419162599396305E-5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9.7096484599356865E-5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2.9779102615912502E-7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2.9779102615912502E-7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2.200343920537126E-5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1.9453410076949448E-4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4.4828274458532702E-7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4.4828274458532702E-7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92.556053785637005</v>
          </cell>
          <cell r="E438">
            <v>91.725909116649802</v>
          </cell>
          <cell r="F438">
            <v>68.259732407313805</v>
          </cell>
          <cell r="G438">
            <v>32.3939979993592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0.61929198768433291</v>
          </cell>
          <cell r="E439">
            <v>0.62770377326903859</v>
          </cell>
          <cell r="F439">
            <v>0.48270868795202665</v>
          </cell>
          <cell r="G439">
            <v>0.24140975407941773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1.2541470702660853</v>
          </cell>
          <cell r="E440">
            <v>1.2428984975155788</v>
          </cell>
          <cell r="F440">
            <v>0.92492862340533555</v>
          </cell>
          <cell r="G440">
            <v>0.43894306232193969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6.5841999999999998E-2</v>
          </cell>
          <cell r="E441">
            <v>5.7063066666666697E-2</v>
          </cell>
          <cell r="F441">
            <v>4.3891675459153422E-2</v>
          </cell>
          <cell r="G441">
            <v>2.1946877235544528E-2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8.4713349947946357E-6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1.1161671792113741E-4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G444">
            <v>1.26009690725132E-7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G445">
            <v>1.26009690725132E-7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2.5504850457166199</v>
          </cell>
          <cell r="E449">
            <v>3.2886293375569502</v>
          </cell>
          <cell r="F449">
            <v>2.5425051677860599</v>
          </cell>
          <cell r="G449">
            <v>2.6814690875734701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3.64356676856577</v>
          </cell>
          <cell r="E450">
            <v>6.9321961061227197</v>
          </cell>
          <cell r="F450">
            <v>6.9242402039158009</v>
          </cell>
          <cell r="G450">
            <v>7.1106264196314601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26.12483910510224</v>
          </cell>
          <cell r="E451">
            <v>43.791252335697102</v>
          </cell>
          <cell r="F451">
            <v>98.429377925854851</v>
          </cell>
          <cell r="G451">
            <v>83.69578791211805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0.2414795429084732</v>
          </cell>
          <cell r="E452">
            <v>0.39832977147202486</v>
          </cell>
          <cell r="F452">
            <v>0.82922209280675696</v>
          </cell>
          <cell r="G452">
            <v>0.70461294150453324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0.35399510982523313</v>
          </cell>
          <cell r="E453">
            <v>0.593377402922726</v>
          </cell>
          <cell r="F453">
            <v>1.3337314082094138</v>
          </cell>
          <cell r="G453">
            <v>1.1340892671018696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3.0464857768769298E-3</v>
          </cell>
          <cell r="F454">
            <v>8.48281752601735E-2</v>
          </cell>
          <cell r="G454">
            <v>6.0685793614459601E-4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3.6490627745920649E-2</v>
          </cell>
          <cell r="E455">
            <v>4.2724068188990112E-2</v>
          </cell>
          <cell r="F455">
            <v>0.12580638795372376</v>
          </cell>
          <cell r="G455">
            <v>0.10651032311906861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0.33398412994859022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5.3602866127695718E-3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5.8897202003707454E-3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3.9071031133796731E-3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3.1386465613616056E-4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2.9630255323443901E-2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1.553689952724714E-2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1.8345551839801195E-2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1.3580642891104257E-2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1.6656985557266919E-2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7.9802061584521855E-3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1.2393493091106373E-2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2.4366208336898877E-2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4.955939579320277E-3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3.8529338781174899E-2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4.4210748439268074E-2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4.4236925766140314E-2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5.554519345295536E-3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4.6917842242124265E-3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1.8898175329798838E-3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2.5668248014014887E-3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1.5848750095060937E-2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1.9643835486026356E-2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0.104299787365392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0.104299787365392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8.9447672425363403E-2</v>
          </cell>
          <cell r="F481">
            <v>0.17018554365903499</v>
          </cell>
          <cell r="G481">
            <v>2.9555630628087002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3.6251920101909453E-2</v>
          </cell>
          <cell r="F482">
            <v>6.897387672524781E-2</v>
          </cell>
          <cell r="G482">
            <v>1.1978493470414102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9.0644580291340406E-5</v>
          </cell>
          <cell r="E483">
            <v>8.94148666771266E-2</v>
          </cell>
          <cell r="F483">
            <v>8.0719534535065404E-2</v>
          </cell>
          <cell r="G483">
            <v>2.7851877889769199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9.0644580291340406E-5</v>
          </cell>
          <cell r="E484">
            <v>8.9505511257418E-2</v>
          </cell>
          <cell r="F484">
            <v>0.17020430782541573</v>
          </cell>
          <cell r="G484">
            <v>2.95535645169603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22.947561675901468</v>
          </cell>
          <cell r="E485">
            <v>54.943244819941455</v>
          </cell>
          <cell r="F485">
            <v>72.137473187449928</v>
          </cell>
          <cell r="G485">
            <v>111.1980541716658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0.10921223831108169</v>
          </cell>
          <cell r="E486">
            <v>0.26148637626981458</v>
          </cell>
          <cell r="F486">
            <v>0.34331729985850745</v>
          </cell>
          <cell r="G486">
            <v>0.52921476204933138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0.31094257013416571</v>
          </cell>
          <cell r="E487">
            <v>0.74448841219432871</v>
          </cell>
          <cell r="F487">
            <v>0.97747253641531073</v>
          </cell>
          <cell r="G487">
            <v>1.506748701513088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5.8825364516143803E-3</v>
          </cell>
          <cell r="F488">
            <v>1.2623609637119001E-2</v>
          </cell>
          <cell r="G488">
            <v>2.7594327152662902E-2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1.083443030167933E-2</v>
          </cell>
          <cell r="E489">
            <v>1.8407539373753751E-2</v>
          </cell>
          <cell r="F489">
            <v>3.1034308501779691E-2</v>
          </cell>
          <cell r="G489">
            <v>5.253394696171497E-2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252.8305676103414</v>
          </cell>
          <cell r="E490">
            <v>392.53532249593826</v>
          </cell>
          <cell r="F490">
            <v>437.96411115372973</v>
          </cell>
          <cell r="G490">
            <v>349.71177961065416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2.0620696764592474</v>
          </cell>
          <cell r="E491">
            <v>3.2151015741944118</v>
          </cell>
          <cell r="F491">
            <v>3.5525871148069186</v>
          </cell>
          <cell r="G491">
            <v>2.8522683683930317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3.4258884500046296</v>
          </cell>
          <cell r="E492">
            <v>5.3189068088880536</v>
          </cell>
          <cell r="F492">
            <v>5.9344730508635477</v>
          </cell>
          <cell r="G492">
            <v>4.7386420001443739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6.1330812602888504E-4</v>
          </cell>
          <cell r="F493">
            <v>3.0102576980221001E-2</v>
          </cell>
          <cell r="G493">
            <v>2.8656457429568902E-4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0.21737650387413221</v>
          </cell>
          <cell r="E494">
            <v>0.24394087849292206</v>
          </cell>
          <cell r="F494">
            <v>0.27028948245918288</v>
          </cell>
          <cell r="G494">
            <v>0.21645220881217433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0.37483022668619692</v>
          </cell>
          <cell r="E495">
            <v>1.3725502317487452</v>
          </cell>
          <cell r="F495">
            <v>1.5237323505547193</v>
          </cell>
          <cell r="G495">
            <v>1.5185178970417148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3.8628922420706588E-3</v>
          </cell>
          <cell r="E496">
            <v>1.670728459130252E-2</v>
          </cell>
          <cell r="F496">
            <v>1.7952640075081051E-2</v>
          </cell>
          <cell r="G496">
            <v>1.7125115728144031E-2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5.113645657383317E-3</v>
          </cell>
          <cell r="E497">
            <v>1.872510548088327E-2</v>
          </cell>
          <cell r="F497">
            <v>2.0787617333625094E-2</v>
          </cell>
          <cell r="G497">
            <v>2.0716478813665961E-2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1.3694529659707599E-3</v>
          </cell>
          <cell r="F498">
            <v>9.0140500855202799E-4</v>
          </cell>
          <cell r="G498">
            <v>3.1066826950986001E-4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4.4434453544773254E-4</v>
          </cell>
          <cell r="E499">
            <v>1.8238228472858974E-3</v>
          </cell>
          <cell r="F499">
            <v>2.6315798173359717E-3</v>
          </cell>
          <cell r="G499">
            <v>2.4293511691288305E-3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265.53418536709137</v>
          </cell>
          <cell r="E500">
            <v>425.34222282605191</v>
          </cell>
          <cell r="F500">
            <v>432.73280030182559</v>
          </cell>
          <cell r="G500">
            <v>350.21597632863876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1.8536275275894587</v>
          </cell>
          <cell r="E501">
            <v>2.9740341713020686</v>
          </cell>
          <cell r="F501">
            <v>3.0191652936503859</v>
          </cell>
          <cell r="G501">
            <v>2.4619557776828818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3.5980241919660059</v>
          </cell>
          <cell r="E502">
            <v>5.7634447537405382</v>
          </cell>
          <cell r="F502">
            <v>5.863588079970528</v>
          </cell>
          <cell r="G502">
            <v>4.7454739339923995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9.9954810404871697E-4</v>
          </cell>
          <cell r="F503">
            <v>6.5823200721078102E-3</v>
          </cell>
          <cell r="G503">
            <v>2.27282946188675E-4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0.18196604051142468</v>
          </cell>
          <cell r="E504">
            <v>0.20461391320185032</v>
          </cell>
          <cell r="F504">
            <v>0.20794063429645313</v>
          </cell>
          <cell r="G504">
            <v>0.16948670125419235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68.57667661432356</v>
          </cell>
          <cell r="E505">
            <v>94.455242867457784</v>
          </cell>
          <cell r="F505">
            <v>80.465530030476941</v>
          </cell>
          <cell r="G505">
            <v>62.550269311174603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0.65903748475449886</v>
          </cell>
          <cell r="E506">
            <v>0.90748083429040671</v>
          </cell>
          <cell r="F506">
            <v>0.80219708408725143</v>
          </cell>
          <cell r="G506">
            <v>0.64706115004486575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0.93556175462924263</v>
          </cell>
          <cell r="E507">
            <v>1.2886117717252081</v>
          </cell>
          <cell r="F507">
            <v>1.0977562077827692</v>
          </cell>
          <cell r="G507">
            <v>0.85334610247168574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3.6309192882825401E-4</v>
          </cell>
          <cell r="F508">
            <v>5.3598104140850503E-4</v>
          </cell>
          <cell r="G508">
            <v>1.67925467339949E-4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6.4554974894972653E-2</v>
          </cell>
          <cell r="E509">
            <v>6.8857431230479146E-2</v>
          </cell>
          <cell r="F509">
            <v>6.8749746811901741E-2</v>
          </cell>
          <cell r="G509">
            <v>5.2355343712743363E-2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237.89810636298449</v>
          </cell>
          <cell r="E514">
            <v>388.71624874622523</v>
          </cell>
          <cell r="F514">
            <v>746.18548330442559</v>
          </cell>
          <cell r="G514">
            <v>623.71040915035371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1.3969638897573464</v>
          </cell>
          <cell r="E515">
            <v>2.2823600066295726</v>
          </cell>
          <cell r="F515">
            <v>4.3873848943075719</v>
          </cell>
          <cell r="G515">
            <v>3.6932789459284985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3.2235515767342031</v>
          </cell>
          <cell r="E516">
            <v>5.2671578420897625</v>
          </cell>
          <cell r="F516">
            <v>10.110914407919049</v>
          </cell>
          <cell r="G516">
            <v>8.4513605575928619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6.9855124588349895E-4</v>
          </cell>
          <cell r="F517">
            <v>0.171451736459135</v>
          </cell>
          <cell r="G517">
            <v>3.1951245703016403E-4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0.15702371703118254</v>
          </cell>
          <cell r="E518">
            <v>0.17991997422044659</v>
          </cell>
          <cell r="F518">
            <v>0.34617237452715471</v>
          </cell>
          <cell r="G518">
            <v>0.29127573113345617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295.21853723086258</v>
          </cell>
          <cell r="E519">
            <v>390.78809297073803</v>
          </cell>
          <cell r="F519">
            <v>387.22916076918648</v>
          </cell>
          <cell r="G519">
            <v>296.07135886289245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2.1530216980394234</v>
          </cell>
          <cell r="E520">
            <v>2.8389965663152728</v>
          </cell>
          <cell r="F520">
            <v>2.8107010649579305</v>
          </cell>
          <cell r="G520">
            <v>2.186212677109538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4.0275380249776651</v>
          </cell>
          <cell r="E521">
            <v>5.3313518822747357</v>
          </cell>
          <cell r="F521">
            <v>5.2827989190884885</v>
          </cell>
          <cell r="G521">
            <v>4.0391726993573265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3.25554122058093E-4</v>
          </cell>
          <cell r="F522">
            <v>3.7565867712577799E-4</v>
          </cell>
          <cell r="G522">
            <v>1.33004575545041E-4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0.1832273960318711</v>
          </cell>
          <cell r="E523">
            <v>0.19531384666076756</v>
          </cell>
          <cell r="F523">
            <v>0.19363509322040501</v>
          </cell>
          <cell r="G523">
            <v>0.1506125832853325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141.43646494174243</v>
          </cell>
          <cell r="E524">
            <v>162.01677293865094</v>
          </cell>
          <cell r="F524">
            <v>158.49246882834788</v>
          </cell>
          <cell r="G524">
            <v>113.20084392673149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0.89923816076204688</v>
          </cell>
          <cell r="E525">
            <v>1.0071737896564095</v>
          </cell>
          <cell r="F525">
            <v>0.98757858935679066</v>
          </cell>
          <cell r="G525">
            <v>0.72518239330981704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1.9295561383593771</v>
          </cell>
          <cell r="E526">
            <v>2.2103243238560788</v>
          </cell>
          <cell r="F526">
            <v>2.1622437766486806</v>
          </cell>
          <cell r="G526">
            <v>1.5443498489322112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1.4318397899596501E-4</v>
          </cell>
          <cell r="F527">
            <v>2.23456444346219E-4</v>
          </cell>
          <cell r="G527">
            <v>1.21360931307686E-4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7.1260147372555399E-2</v>
          </cell>
          <cell r="E528">
            <v>7.9471854687805557E-2</v>
          </cell>
          <cell r="F528">
            <v>7.8554303440861478E-2</v>
          </cell>
          <cell r="G528">
            <v>6.1464383763062243E-2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5.88847323054725</v>
          </cell>
          <cell r="E529">
            <v>1.8838523326667</v>
          </cell>
          <cell r="F529">
            <v>3.8802355617351298</v>
          </cell>
          <cell r="G529">
            <v>4.7829386770683401E-2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2.89812335640026E-2</v>
          </cell>
          <cell r="E530">
            <v>9.3581480412183535E-3</v>
          </cell>
          <cell r="F530">
            <v>1.9542281273505387E-2</v>
          </cell>
          <cell r="G530">
            <v>2.4088623346207497E-4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0.10440555373310725</v>
          </cell>
          <cell r="E531">
            <v>3.3401637104019534E-2</v>
          </cell>
          <cell r="F531">
            <v>6.8798502867644079E-2</v>
          </cell>
          <cell r="G531">
            <v>8.4803877252984745E-4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2.085E-3</v>
          </cell>
          <cell r="E532">
            <v>1.807E-3</v>
          </cell>
          <cell r="F532">
            <v>1.3898894444890355E-3</v>
          </cell>
          <cell r="G532">
            <v>2.0980053338668964E-5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5712.4206332185204</v>
          </cell>
          <cell r="E533">
            <v>5582.94396286557</v>
          </cell>
          <cell r="F533">
            <v>5234.5709407476897</v>
          </cell>
          <cell r="G533">
            <v>3031.9167797288701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80.683179246270697</v>
          </cell>
          <cell r="E534">
            <v>78.855240602993035</v>
          </cell>
          <cell r="F534">
            <v>73.934947977087589</v>
          </cell>
          <cell r="G534">
            <v>44.362179186219919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77.404073620847043</v>
          </cell>
          <cell r="E535">
            <v>75.649647193300396</v>
          </cell>
          <cell r="F535">
            <v>70.929145538586567</v>
          </cell>
          <cell r="G535">
            <v>41.082883194158065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4.4825206606088379</v>
          </cell>
          <cell r="E536">
            <v>4.3817250788126199</v>
          </cell>
          <cell r="F536">
            <v>4.1085644836730637</v>
          </cell>
          <cell r="G536">
            <v>3.9409965619628196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0.54050647797387796</v>
          </cell>
          <cell r="E537">
            <v>0.54862858828878802</v>
          </cell>
          <cell r="F537">
            <v>0.56858514821931994</v>
          </cell>
          <cell r="G537">
            <v>0.46160471045413137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4.8698984808933032E-2</v>
          </cell>
          <cell r="E538">
            <v>4.942822424041516E-2</v>
          </cell>
          <cell r="F538">
            <v>5.1202594923683543E-2</v>
          </cell>
          <cell r="G538">
            <v>4.1471066085482983E-2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0.180094259008448</v>
          </cell>
          <cell r="E539">
            <v>9.6458167195956595E-4</v>
          </cell>
          <cell r="F539">
            <v>7.3864841605499401E-3</v>
          </cell>
          <cell r="G539">
            <v>1.43592497935815E-2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0.18603419698171825</v>
          </cell>
          <cell r="E540">
            <v>0.18890426802042168</v>
          </cell>
          <cell r="F540">
            <v>0.19629898314200939</v>
          </cell>
          <cell r="G540">
            <v>0.15952013323881845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1.3368462598261462E-2</v>
          </cell>
          <cell r="E543">
            <v>1.6397320649146396E-2</v>
          </cell>
          <cell r="F543">
            <v>2.2879655784238711E-2</v>
          </cell>
          <cell r="G543">
            <v>2.836386352908386E-2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2.1272035600823098E-3</v>
          </cell>
          <cell r="E544">
            <v>2.6067321460687982E-3</v>
          </cell>
          <cell r="F544">
            <v>3.6240512421855504E-3</v>
          </cell>
          <cell r="G544">
            <v>4.4720984879947192E-3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3.82558214827622E-3</v>
          </cell>
          <cell r="E545">
            <v>9.6737047021545495E-4</v>
          </cell>
          <cell r="F545">
            <v>2.5137245435764601E-3</v>
          </cell>
          <cell r="G545">
            <v>2.23097354188577E-3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4.6099730760425645E-3</v>
          </cell>
          <cell r="E546">
            <v>5.679342595844389E-3</v>
          </cell>
          <cell r="F546">
            <v>8.1963423239107044E-3</v>
          </cell>
          <cell r="G546">
            <v>1.0260556257166223E-2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4.987863005171427E-3</v>
          </cell>
          <cell r="E551">
            <v>7.1392395998651579E-3</v>
          </cell>
          <cell r="F551">
            <v>1.0034723067299257E-2</v>
          </cell>
          <cell r="G551">
            <v>1.269072375890113E-2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1.2194836883613141E-3</v>
          </cell>
          <cell r="E552">
            <v>1.7422849811827615E-3</v>
          </cell>
          <cell r="F552">
            <v>2.4387752232390967E-3</v>
          </cell>
          <cell r="G552">
            <v>3.0676981399679732E-3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1.59339225814964E-3</v>
          </cell>
          <cell r="E553">
            <v>7.1739900755961902E-4</v>
          </cell>
          <cell r="F553">
            <v>1.1287920541554401E-3</v>
          </cell>
          <cell r="G553">
            <v>1.04001370918859E-3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1.7000557995725076E-3</v>
          </cell>
          <cell r="E554">
            <v>2.461362979750208E-3</v>
          </cell>
          <cell r="F554">
            <v>3.5932172265865504E-3</v>
          </cell>
          <cell r="G554">
            <v>4.6318274019283524E-3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5.5932426169554321E-3</v>
          </cell>
          <cell r="E555">
            <v>7.9911174030597512E-3</v>
          </cell>
          <cell r="F555">
            <v>1.1192345703748951E-2</v>
          </cell>
          <cell r="G555">
            <v>1.3532204363093027E-2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1.4855679055475442E-3</v>
          </cell>
          <cell r="E556">
            <v>2.1181164856155111E-3</v>
          </cell>
          <cell r="F556">
            <v>2.953124776114585E-3</v>
          </cell>
          <cell r="G556">
            <v>3.5526627192261728E-3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1.8944662417464001E-3</v>
          </cell>
          <cell r="E557">
            <v>8.3046342862318895E-4</v>
          </cell>
          <cell r="F557">
            <v>1.2557903703884501E-3</v>
          </cell>
          <cell r="G557">
            <v>9.43222349566386E-4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1.9072016667167585E-3</v>
          </cell>
          <cell r="E558">
            <v>2.7472394102999896E-3</v>
          </cell>
          <cell r="F558">
            <v>4.0053703286024216E-3</v>
          </cell>
          <cell r="G558">
            <v>4.9439910180838964E-3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2.069699747680074E-3</v>
          </cell>
          <cell r="E559">
            <v>1.7042181035781467E-3</v>
          </cell>
          <cell r="F559">
            <v>1.0609188645374344E-3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4.9389053266720774E-4</v>
          </cell>
          <cell r="E560">
            <v>5.0514049158053328E-4</v>
          </cell>
          <cell r="F560">
            <v>4.9380192075901719E-4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3.77895550061805E-5</v>
          </cell>
          <cell r="E561">
            <v>3.02316440049444E-5</v>
          </cell>
          <cell r="F561">
            <v>1.8858695085942666E-5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3.1055704091171799</v>
          </cell>
          <cell r="F562">
            <v>3.726566416103851</v>
          </cell>
          <cell r="G562">
            <v>7.8315909230899892E-3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6.8853715802157343E-3</v>
          </cell>
          <cell r="F563">
            <v>8.3313308665358826E-3</v>
          </cell>
          <cell r="G563">
            <v>1.8410561254178524E-5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4.2367945554122557E-2</v>
          </cell>
          <cell r="F564">
            <v>5.0839923821335009E-2</v>
          </cell>
          <cell r="G564">
            <v>1.0684298667244189E-4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1.3191418111123499E-4</v>
          </cell>
          <cell r="F565">
            <v>2.8604252524964101E-5</v>
          </cell>
          <cell r="G565">
            <v>1.14051132886682E-7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1.3191418111123499E-4</v>
          </cell>
          <cell r="F566">
            <v>1.6046641850460245E-4</v>
          </cell>
          <cell r="G566">
            <v>2.9585494390100306E-7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0.20753431178179499</v>
          </cell>
          <cell r="F567">
            <v>0.45230932635329602</v>
          </cell>
          <cell r="G567">
            <v>1.414863422235894E-2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3.2982931096350827E-4</v>
          </cell>
          <cell r="F568">
            <v>7.3770140373026569E-4</v>
          </cell>
          <cell r="G568">
            <v>2.3993739364750304E-5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2.8313002971595458E-3</v>
          </cell>
          <cell r="F569">
            <v>6.1706592954065016E-3</v>
          </cell>
          <cell r="G569">
            <v>1.9302365924091347E-4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6.47455541168404E-6</v>
          </cell>
          <cell r="F570">
            <v>7.41861028127293E-6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6.47455541168404E-6</v>
          </cell>
          <cell r="F571">
            <v>1.387098931789076E-5</v>
          </cell>
          <cell r="G571">
            <v>-1.981638668403008E-7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0.38496293837481399</v>
          </cell>
          <cell r="F572">
            <v>0.65407807934547002</v>
          </cell>
          <cell r="G572">
            <v>3.7328529399021801E-2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4.108853246442473E-4</v>
          </cell>
          <cell r="F573">
            <v>7.1223003643087286E-4</v>
          </cell>
          <cell r="G573">
            <v>4.2756586093244895E-5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5.2518818332171081E-3</v>
          </cell>
          <cell r="F574">
            <v>8.9233025831578581E-3</v>
          </cell>
          <cell r="G574">
            <v>5.0925688129633997E-4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7.5765616300968696E-6</v>
          </cell>
          <cell r="F575">
            <v>5.1677034530114504E-6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7.5765616300968696E-6</v>
          </cell>
          <cell r="F576">
            <v>1.27223908605143E-5</v>
          </cell>
          <cell r="G576">
            <v>-3.3946612765426131E-7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2.5507105651720612</v>
          </cell>
          <cell r="E577">
            <v>5.0553019093407485</v>
          </cell>
          <cell r="F577">
            <v>3.9607967592563544</v>
          </cell>
          <cell r="G577">
            <v>3.7180504720302556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3.9544245761628724E-2</v>
          </cell>
          <cell r="E578">
            <v>8.2418655385234726E-2</v>
          </cell>
          <cell r="F578">
            <v>6.4090624872980534E-2</v>
          </cell>
          <cell r="G578">
            <v>6.0292476359118212E-2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3.4562473782819222E-2</v>
          </cell>
          <cell r="E579">
            <v>6.8500025871825715E-2</v>
          </cell>
          <cell r="F579">
            <v>5.3669332781251342E-2</v>
          </cell>
          <cell r="G579">
            <v>5.0380087696886809E-2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2.3833149741230701E-3</v>
          </cell>
          <cell r="F580">
            <v>9.2715329699438395E-4</v>
          </cell>
          <cell r="G580">
            <v>7.3091935535186795E-4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5.6529398338992396E-3</v>
          </cell>
          <cell r="E581">
            <v>8.9057936238722511E-3</v>
          </cell>
          <cell r="F581">
            <v>9.5786345144476814E-3</v>
          </cell>
          <cell r="G581">
            <v>8.4073590357524822E-3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3.2601310840496202E-2</v>
          </cell>
          <cell r="F582">
            <v>6.6536969565303097E-2</v>
          </cell>
          <cell r="G582">
            <v>3.0146236350770218E-2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2.3462020289192208E-5</v>
          </cell>
          <cell r="F583">
            <v>4.9018131399460307E-5</v>
          </cell>
          <cell r="G583">
            <v>2.3209544856457946E-5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4.4476549577757423E-4</v>
          </cell>
          <cell r="F584">
            <v>9.0773491903551413E-4</v>
          </cell>
          <cell r="G584">
            <v>4.1127198295730155E-4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E585">
            <v>2.53157270638397E-7</v>
          </cell>
          <cell r="F585">
            <v>2.4084892996343901E-7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E586">
            <v>2.53157270638397E-7</v>
          </cell>
          <cell r="F586">
            <v>4.8198977011186399E-7</v>
          </cell>
          <cell r="G586">
            <v>-1.6412702206230099E-7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29.026716115673601</v>
          </cell>
          <cell r="E587">
            <v>20.483210323469301</v>
          </cell>
          <cell r="F587">
            <v>0.85506496382361696</v>
          </cell>
          <cell r="G587">
            <v>0.36886879476187701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1.6050126208400108E-3</v>
          </cell>
          <cell r="E588">
            <v>1.1326052507447326E-3</v>
          </cell>
          <cell r="F588">
            <v>4.7280238422628891E-5</v>
          </cell>
          <cell r="G588">
            <v>2.0396350336963259E-5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0.3959988556026412</v>
          </cell>
          <cell r="E589">
            <v>0.27944352419467</v>
          </cell>
          <cell r="F589">
            <v>1.1665279179039792E-2</v>
          </cell>
          <cell r="G589">
            <v>5.0323164360419762E-3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1.4836280647518099E-4</v>
          </cell>
          <cell r="F590">
            <v>1.42368381599936E-8</v>
          </cell>
          <cell r="G590">
            <v>1.0216946359665099E-8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1.4836280647518099E-4</v>
          </cell>
          <cell r="E591">
            <v>1.4836280647518099E-4</v>
          </cell>
          <cell r="F591">
            <v>5.0354009549819932E-6</v>
          </cell>
          <cell r="G591">
            <v>2.2984668611770206E-6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7.8758017260258635</v>
          </cell>
          <cell r="E592">
            <v>19.319706839918503</v>
          </cell>
          <cell r="F592">
            <v>67.02440692353872</v>
          </cell>
          <cell r="G592">
            <v>58.411773174246413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0.16550641813199138</v>
          </cell>
          <cell r="E593">
            <v>0.53291916501859804</v>
          </cell>
          <cell r="F593">
            <v>1.742719215255895</v>
          </cell>
          <cell r="G593">
            <v>1.5086315959482244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0.10671818056945617</v>
          </cell>
          <cell r="E594">
            <v>0.26178464552735076</v>
          </cell>
          <cell r="F594">
            <v>0.90818979571190506</v>
          </cell>
          <cell r="G594">
            <v>0.79148744138545257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1.13593949905006E-2</v>
          </cell>
          <cell r="F595">
            <v>9.5849985893788903E-2</v>
          </cell>
          <cell r="G595">
            <v>3.72120971133918E-4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1.720754687688909E-2</v>
          </cell>
          <cell r="E596">
            <v>4.0433744970812875E-2</v>
          </cell>
          <cell r="F596">
            <v>0.13328677054715315</v>
          </cell>
          <cell r="G596">
            <v>0.11448043222342066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5.5567259617384799E-5</v>
          </cell>
          <cell r="E597">
            <v>6.3094694859177293E-5</v>
          </cell>
          <cell r="F597">
            <v>1.03514998842754E-4</v>
          </cell>
          <cell r="G597">
            <v>1.01710940981763E-4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5.5567259617384799E-5</v>
          </cell>
          <cell r="E598">
            <v>1.18661954476562E-4</v>
          </cell>
          <cell r="F598">
            <v>1.7072772869948061E-4</v>
          </cell>
          <cell r="G598">
            <v>1.8268821392430202E-4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4.2154000266483001E-3</v>
          </cell>
          <cell r="E599">
            <v>8.2744164300961209</v>
          </cell>
          <cell r="F599">
            <v>5.8854333316666994</v>
          </cell>
          <cell r="G599">
            <v>5.0410692915509312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2.4052576622640294E-5</v>
          </cell>
          <cell r="E600">
            <v>0.19158837462913669</v>
          </cell>
          <cell r="F600">
            <v>0.13462212038638466</v>
          </cell>
          <cell r="G600">
            <v>0.11232532080670031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5.7508868030672554E-5</v>
          </cell>
          <cell r="E601">
            <v>0.11288426234783268</v>
          </cell>
          <cell r="F601">
            <v>8.0292405616189652E-2</v>
          </cell>
          <cell r="G601">
            <v>6.8773114482277367E-2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2.0746585813158001E-2</v>
          </cell>
          <cell r="F602">
            <v>1.1131631263202599E-3</v>
          </cell>
          <cell r="G602">
            <v>4.6467117786008403E-4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1.5868161048817774E-6</v>
          </cell>
          <cell r="E603">
            <v>2.0471962697990294E-2</v>
          </cell>
          <cell r="F603">
            <v>2.0397043819107511E-2</v>
          </cell>
          <cell r="G603">
            <v>1.6899937006441632E-2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5.7849252459188012</v>
          </cell>
          <cell r="E604">
            <v>82.522951586854902</v>
          </cell>
          <cell r="F604">
            <v>78.447837244217652</v>
          </cell>
          <cell r="G604">
            <v>63.079183031480177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0.14797513335128124</v>
          </cell>
          <cell r="E605">
            <v>2.78530886254278</v>
          </cell>
          <cell r="F605">
            <v>2.6413605861523264</v>
          </cell>
          <cell r="G605">
            <v>2.1318686565833258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7.838652094740918E-2</v>
          </cell>
          <cell r="E606">
            <v>1.1181971759736442</v>
          </cell>
          <cell r="F606">
            <v>1.0629788244473974</v>
          </cell>
          <cell r="G606">
            <v>0.85473147739132882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0.16785958398616299</v>
          </cell>
          <cell r="F607">
            <v>8.6175424882739104E-4</v>
          </cell>
          <cell r="G607">
            <v>1.8014931930327501E-4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1.423208466707343E-2</v>
          </cell>
          <cell r="E608">
            <v>0.19155586333955948</v>
          </cell>
          <cell r="F608">
            <v>0.18184761788133594</v>
          </cell>
          <cell r="G608">
            <v>0.14665913670261366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0.19512465421411845</v>
          </cell>
          <cell r="E609">
            <v>39.946027433318356</v>
          </cell>
          <cell r="F609">
            <v>94.579730406588453</v>
          </cell>
          <cell r="G609">
            <v>80.581238116321757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3.2122077293299865E-3</v>
          </cell>
          <cell r="E610">
            <v>1.4605929767174555</v>
          </cell>
          <cell r="F610">
            <v>2.8937981857775195</v>
          </cell>
          <cell r="G610">
            <v>2.4421622802251126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2.6620007396196323E-3</v>
          </cell>
          <cell r="E611">
            <v>0.54496626784881763</v>
          </cell>
          <cell r="F611">
            <v>1.290310101044863</v>
          </cell>
          <cell r="G611">
            <v>1.0993347628420445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0.11178766367062599</v>
          </cell>
          <cell r="F612">
            <v>0.116658268884131</v>
          </cell>
          <cell r="G612">
            <v>2.5666565112760501E-4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2.5959187828813481E-4</v>
          </cell>
          <cell r="E613">
            <v>0.11081972724901266</v>
          </cell>
          <cell r="F613">
            <v>0.21958416158331898</v>
          </cell>
          <cell r="G613">
            <v>0.18531878662019735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6.8482051459098771E-4</v>
          </cell>
          <cell r="E614">
            <v>4.8682230371956577E-3</v>
          </cell>
          <cell r="F614">
            <v>8.9874180997952594E-3</v>
          </cell>
          <cell r="G614">
            <v>0.14980736947095355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6.8482051459098771E-4</v>
          </cell>
          <cell r="E615">
            <v>4.8682230371956577E-3</v>
          </cell>
          <cell r="F615">
            <v>8.9874180997952594E-3</v>
          </cell>
          <cell r="G615">
            <v>0.14980736947095355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3.33952640756795E-4</v>
          </cell>
          <cell r="E616">
            <v>4.39280055729071E-4</v>
          </cell>
          <cell r="F616">
            <v>8.0921261236049295E-4</v>
          </cell>
          <cell r="G616">
            <v>1.6976547707801201E-2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3.33952640756795E-4</v>
          </cell>
          <cell r="E617">
            <v>7.7323269648586605E-4</v>
          </cell>
          <cell r="F617">
            <v>1.58244530884636E-3</v>
          </cell>
          <cell r="G617">
            <v>1.8411189840546901E-2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4.9511879048838736</v>
          </cell>
          <cell r="E618">
            <v>10.765871482885698</v>
          </cell>
          <cell r="F618">
            <v>10.659353892153838</v>
          </cell>
          <cell r="G618">
            <v>9.2609936373240966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7.5599923996085908E-2</v>
          </cell>
          <cell r="E619">
            <v>0.19799424185682285</v>
          </cell>
          <cell r="F619">
            <v>0.19545508836373904</v>
          </cell>
          <cell r="G619">
            <v>0.16798418529458203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6.7089267003846625E-2</v>
          </cell>
          <cell r="E620">
            <v>0.14587901738327488</v>
          </cell>
          <cell r="F620">
            <v>0.14443568959558051</v>
          </cell>
          <cell r="G620">
            <v>0.12548771866292832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1.6040739777999199E-3</v>
          </cell>
          <cell r="F621">
            <v>7.4775501056558097E-4</v>
          </cell>
          <cell r="G621">
            <v>2.1851242468750399E-4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8.2998524796518564E-3</v>
          </cell>
          <cell r="E622">
            <v>1.565356942997902E-2</v>
          </cell>
          <cell r="F622">
            <v>1.5726862391328832E-2</v>
          </cell>
          <cell r="G622">
            <v>1.3344863982829696E-2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1.9522711923999618</v>
          </cell>
          <cell r="E623">
            <v>4.1191424159658796</v>
          </cell>
          <cell r="F623">
            <v>4.3534937391531878</v>
          </cell>
          <cell r="G623">
            <v>3.5541183038370336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2.3972516648662373E-2</v>
          </cell>
          <cell r="E624">
            <v>7.19368995230103E-2</v>
          </cell>
          <cell r="F624">
            <v>7.5683042431275327E-2</v>
          </cell>
          <cell r="G624">
            <v>6.281361252420474E-2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2.6633986253751213E-2</v>
          </cell>
          <cell r="E625">
            <v>5.6195667339234347E-2</v>
          </cell>
          <cell r="F625">
            <v>5.9392820452294506E-2</v>
          </cell>
          <cell r="G625">
            <v>4.8487289274720791E-2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1.31706557345668E-3</v>
          </cell>
          <cell r="F626">
            <v>5.70912914757877E-4</v>
          </cell>
          <cell r="G626">
            <v>1.4206156446066399E-4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1.8547760842216104E-3</v>
          </cell>
          <cell r="E627">
            <v>4.9733878861103588E-3</v>
          </cell>
          <cell r="F627">
            <v>5.2857423316731008E-3</v>
          </cell>
          <cell r="G627">
            <v>4.3893387195326405E-3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1.9454493494821454E-3</v>
          </cell>
          <cell r="E628">
            <v>5.2830230195237632E-3</v>
          </cell>
          <cell r="F628">
            <v>8.0951794046205932E-3</v>
          </cell>
          <cell r="G628">
            <v>0.18316803309782481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1.9454493494821454E-3</v>
          </cell>
          <cell r="E629">
            <v>5.2830230195237632E-3</v>
          </cell>
          <cell r="F629">
            <v>8.0951794046205932E-3</v>
          </cell>
          <cell r="G629">
            <v>0.18316803309782481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3.6201928586359201E-4</v>
          </cell>
          <cell r="E630">
            <v>3.6637286109147998E-4</v>
          </cell>
          <cell r="F630">
            <v>5.8889725987097197E-4</v>
          </cell>
          <cell r="G630">
            <v>2.1314007469367999E-2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3.6201928586359201E-4</v>
          </cell>
          <cell r="E631">
            <v>7.2839214695507096E-4</v>
          </cell>
          <cell r="F631">
            <v>1.31728940682604E-3</v>
          </cell>
          <cell r="G631">
            <v>2.2485623198155901E-2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2.5374087406296995</v>
          </cell>
          <cell r="E632">
            <v>6.2317848109691596</v>
          </cell>
          <cell r="F632">
            <v>6.367453345063204</v>
          </cell>
          <cell r="G632">
            <v>5.4492238230556902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4.6522939444611E-2</v>
          </cell>
          <cell r="E633">
            <v>0.1355030272173558</v>
          </cell>
          <cell r="F633">
            <v>0.13692709254562699</v>
          </cell>
          <cell r="G633">
            <v>0.11637892974032932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3.461676317366575E-2</v>
          </cell>
          <cell r="E634">
            <v>8.5017528116905133E-2</v>
          </cell>
          <cell r="F634">
            <v>8.6868394884900446E-2</v>
          </cell>
          <cell r="G634">
            <v>7.4341389127635729E-2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1.9638124792490399E-3</v>
          </cell>
          <cell r="F635">
            <v>7.3896376728470597E-4</v>
          </cell>
          <cell r="G635">
            <v>1.7254471853015501E-4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3.7723079663037453E-3</v>
          </cell>
          <cell r="E636">
            <v>1.0707034858511696E-2</v>
          </cell>
          <cell r="F636">
            <v>1.0916793570821542E-2</v>
          </cell>
          <cell r="G636">
            <v>9.2780301362931413E-3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1.3490000715543589E-3</v>
          </cell>
          <cell r="E637">
            <v>2.8967263092766322E-3</v>
          </cell>
          <cell r="F637">
            <v>4.4874859541610334E-3</v>
          </cell>
          <cell r="G637">
            <v>6.0670490177336292E-2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1.3490000715543589E-3</v>
          </cell>
          <cell r="E638">
            <v>2.8967263092766322E-3</v>
          </cell>
          <cell r="F638">
            <v>4.4874859541610334E-3</v>
          </cell>
          <cell r="G638">
            <v>6.0670490177336292E-2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2.3380276953360101E-4</v>
          </cell>
          <cell r="E639">
            <v>1.56831582560708E-4</v>
          </cell>
          <cell r="F639">
            <v>2.1820378199583E-4</v>
          </cell>
          <cell r="G639">
            <v>6.3774652287248903E-3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2.3380276953360101E-4</v>
          </cell>
          <cell r="E640">
            <v>3.90634352094309E-4</v>
          </cell>
          <cell r="F640">
            <v>6.0883813409013895E-4</v>
          </cell>
          <cell r="G640">
            <v>6.7937577201841702E-3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1.298333414444344E-4</v>
          </cell>
          <cell r="E641">
            <v>1.0337368842511894E-3</v>
          </cell>
          <cell r="F641">
            <v>1.7365705200496596E-3</v>
          </cell>
          <cell r="G641">
            <v>1.4177549033245749E-3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1.298333414444344E-4</v>
          </cell>
          <cell r="E642">
            <v>1.0337368842511894E-3</v>
          </cell>
          <cell r="F642">
            <v>1.7365705200496596E-3</v>
          </cell>
          <cell r="G642">
            <v>1.4177549033245749E-3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1.06556487372126E-4</v>
          </cell>
          <cell r="E643">
            <v>7.1022549610231104E-5</v>
          </cell>
          <cell r="F643">
            <v>5.9895154822909499E-5</v>
          </cell>
          <cell r="G643">
            <v>4.88801010490071E-5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1.06556487372126E-4</v>
          </cell>
          <cell r="E644">
            <v>1.7757903698235799E-4</v>
          </cell>
          <cell r="F644">
            <v>2.3747419180526701E-4</v>
          </cell>
          <cell r="G644">
            <v>1.30637670682489E-4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5.0244558197298922E-3</v>
          </cell>
          <cell r="E646">
            <v>1.8391305128838041E-2</v>
          </cell>
          <cell r="F646">
            <v>1.9456551349257039E-2</v>
          </cell>
          <cell r="G646">
            <v>1.0049276406189422E-2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5.0244558197298922E-3</v>
          </cell>
          <cell r="E647">
            <v>1.8391305128838041E-2</v>
          </cell>
          <cell r="F647">
            <v>1.9456551349257039E-2</v>
          </cell>
          <cell r="G647">
            <v>1.0049276406189422E-2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2.9025192325168002E-3</v>
          </cell>
          <cell r="E648">
            <v>9.9805403971972009E-4</v>
          </cell>
          <cell r="F648">
            <v>6.3022333457983699E-5</v>
          </cell>
          <cell r="G648">
            <v>1.6572502367174999E-5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2.9025192325168002E-3</v>
          </cell>
          <cell r="E649">
            <v>3.9005732722365198E-3</v>
          </cell>
          <cell r="F649">
            <v>3.9635956056945001E-3</v>
          </cell>
          <cell r="G649">
            <v>3.9801681080616803E-3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75.893807173010103</v>
          </cell>
          <cell r="F650">
            <v>296.60628176182621</v>
          </cell>
          <cell r="G650">
            <v>477.9291488060793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0.1692513199482989</v>
          </cell>
          <cell r="F651">
            <v>0.66146378160613506</v>
          </cell>
          <cell r="G651">
            <v>1.0658331989169563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1.0353861824421562</v>
          </cell>
          <cell r="F652">
            <v>4.0464704196701975</v>
          </cell>
          <cell r="G652">
            <v>6.5201793834390145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3.18472139235815E-3</v>
          </cell>
          <cell r="F653">
            <v>9.2671659425573299E-3</v>
          </cell>
          <cell r="G653">
            <v>1.23072541278093E-2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3.18472139235815E-3</v>
          </cell>
          <cell r="F654">
            <v>1.245178270525542E-2</v>
          </cell>
          <cell r="G654">
            <v>2.0054690490280275E-2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80.762820585747406</v>
          </cell>
          <cell r="E655">
            <v>102.218636272818</v>
          </cell>
          <cell r="F655">
            <v>133.09863280012999</v>
          </cell>
          <cell r="G655">
            <v>178.052048756803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1.0930758477492399</v>
          </cell>
          <cell r="E656">
            <v>1.3834673144068099</v>
          </cell>
          <cell r="F656">
            <v>1.8014093592459399</v>
          </cell>
          <cell r="G656">
            <v>2.4098266099026899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1.1093794036503803</v>
          </cell>
          <cell r="E657">
            <v>1.4041021466046504</v>
          </cell>
          <cell r="F657">
            <v>1.8282779230786981</v>
          </cell>
          <cell r="G657">
            <v>2.4457699005055282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2.1119754479936794E-5</v>
          </cell>
          <cell r="E658">
            <v>1.283020964777295E-2</v>
          </cell>
          <cell r="F658">
            <v>1.8584211028950502E-2</v>
          </cell>
          <cell r="G658">
            <v>0.1062158456128276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5.5770089166643053E-5</v>
          </cell>
          <cell r="E659">
            <v>3.2695543653846922E-2</v>
          </cell>
          <cell r="F659">
            <v>4.662099818298291E-2</v>
          </cell>
          <cell r="G659">
            <v>0.23800502487370898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2.4607180248566201E-4</v>
          </cell>
          <cell r="F660">
            <v>1.1511042041621E-4</v>
          </cell>
          <cell r="G660">
            <v>1.9691755137007999E-3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2.4611329334360858E-4</v>
          </cell>
          <cell r="F661">
            <v>3.5896055816397225E-4</v>
          </cell>
          <cell r="G661">
            <v>2.0260977958782007E-3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6.6357837340836234E-4</v>
          </cell>
          <cell r="E666">
            <v>2.4576348014040939E-3</v>
          </cell>
          <cell r="F666">
            <v>7.3009697464081775E-3</v>
          </cell>
          <cell r="G666">
            <v>3.9731281503223435E-2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2.4114276961859889E-3</v>
          </cell>
          <cell r="E667">
            <v>8.7002386186926829E-3</v>
          </cell>
          <cell r="F667">
            <v>2.4859355223832098E-2</v>
          </cell>
          <cell r="G667">
            <v>0.12427537942333484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3.4747571775905198E-5</v>
          </cell>
          <cell r="F668">
            <v>9.3141580760296497E-5</v>
          </cell>
          <cell r="G668">
            <v>6.5009304938274705E-4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7.8819556775138196E-6</v>
          </cell>
          <cell r="E669">
            <v>4.5534165582579482E-5</v>
          </cell>
          <cell r="F669">
            <v>1.3836511838364395E-4</v>
          </cell>
          <cell r="G669">
            <v>7.6730650084337495E-4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384.86666634953951</v>
          </cell>
          <cell r="E670">
            <v>452.00256682669442</v>
          </cell>
          <cell r="F670">
            <v>352.43778071494603</v>
          </cell>
          <cell r="G670">
            <v>33.483649855798589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0.6232609288790425</v>
          </cell>
          <cell r="E671">
            <v>0.73198217535488175</v>
          </cell>
          <cell r="F671">
            <v>0.57074493009214755</v>
          </cell>
          <cell r="G671">
            <v>5.4224105478732625E-2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5.2505684358736708</v>
          </cell>
          <cell r="E672">
            <v>6.1664743086861487</v>
          </cell>
          <cell r="F672">
            <v>4.8081552621411419</v>
          </cell>
          <cell r="G672">
            <v>0.45680286297133099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1.8992037766939499E-5</v>
          </cell>
          <cell r="F673">
            <v>2.48839968602715E-5</v>
          </cell>
          <cell r="G673">
            <v>2.3297285450451702E-5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1.1766283015685667E-2</v>
          </cell>
          <cell r="E674">
            <v>1.3777857610234657E-2</v>
          </cell>
          <cell r="F674">
            <v>1.0772496592233586E-2</v>
          </cell>
          <cell r="G674">
            <v>1.0267773097345978E-3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1.1302794430825917E-4</v>
          </cell>
          <cell r="E675">
            <v>3.2749741537676257E-2</v>
          </cell>
          <cell r="F675">
            <v>4.672175843656233E-2</v>
          </cell>
          <cell r="G675">
            <v>0.24370855537457833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1.1302794430825917E-4</v>
          </cell>
          <cell r="E676">
            <v>3.2749741537676257E-2</v>
          </cell>
          <cell r="F676">
            <v>4.672175843656233E-2</v>
          </cell>
          <cell r="G676">
            <v>0.24370855537457833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2.43206256865974E-3</v>
          </cell>
          <cell r="E677">
            <v>2.2904339264069899E-3</v>
          </cell>
          <cell r="F677">
            <v>4.1128311232894697E-3</v>
          </cell>
          <cell r="G677">
            <v>1.8487489340149401E-2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2.43206256865974E-3</v>
          </cell>
          <cell r="E678">
            <v>4.7224964950667199E-3</v>
          </cell>
          <cell r="F678">
            <v>8.8353276183562E-3</v>
          </cell>
          <cell r="G678">
            <v>2.6366814656997899E-2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2.34960356224573E-3</v>
          </cell>
          <cell r="E679">
            <v>0.94459008152490198</v>
          </cell>
          <cell r="F679">
            <v>1.1562659635163846</v>
          </cell>
          <cell r="G679">
            <v>3.22613520307516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2.3348766953231078E-5</v>
          </cell>
          <cell r="E680">
            <v>9.386695710819605E-3</v>
          </cell>
          <cell r="F680">
            <v>1.1490187090239766E-2</v>
          </cell>
          <cell r="G680">
            <v>3.2059144030331832E-2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3.205461885737698E-5</v>
          </cell>
          <cell r="E681">
            <v>1.2886631398702613E-2</v>
          </cell>
          <cell r="F681">
            <v>1.5774433335830628E-2</v>
          </cell>
          <cell r="G681">
            <v>4.4012758568556042E-2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2.0580398733543699E-3</v>
          </cell>
          <cell r="E682">
            <v>4.0806278617089211E-3</v>
          </cell>
          <cell r="F682">
            <v>7.6555854267575827E-3</v>
          </cell>
          <cell r="G682">
            <v>0.17344254537374912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1.124793842669136E-2</v>
          </cell>
          <cell r="E683">
            <v>2.1967993787638643E-2</v>
          </cell>
          <cell r="F683">
            <v>3.9900623509673903E-2</v>
          </cell>
          <cell r="G683">
            <v>0.80531207199989374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2.6714238129570399E-5</v>
          </cell>
          <cell r="F684">
            <v>6.6774502231749198E-5</v>
          </cell>
          <cell r="G684">
            <v>3.4286798465123901E-3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3.3993020936574012E-5</v>
          </cell>
          <cell r="E685">
            <v>7.4119215210383964E-5</v>
          </cell>
          <cell r="F685">
            <v>1.408623355786468E-4</v>
          </cell>
          <cell r="G685">
            <v>3.5281659738521818E-3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2.0090604401523803E-3</v>
          </cell>
          <cell r="E686">
            <v>8.5332515764402258E-3</v>
          </cell>
          <cell r="F686">
            <v>2.4705846715601748E-2</v>
          </cell>
          <cell r="G686">
            <v>0.12877335812509269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2.0090604401523803E-3</v>
          </cell>
          <cell r="E687">
            <v>8.5332515764402258E-3</v>
          </cell>
          <cell r="F687">
            <v>2.4705846715601748E-2</v>
          </cell>
          <cell r="G687">
            <v>0.12877335812509269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2.2649959501478E-3</v>
          </cell>
          <cell r="E688">
            <v>2.0550846241022798E-3</v>
          </cell>
          <cell r="F688">
            <v>3.4662234640335699E-3</v>
          </cell>
          <cell r="G688">
            <v>7.6883277700328396E-3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2.2649959501478E-3</v>
          </cell>
          <cell r="E689">
            <v>4.3200805742500802E-3</v>
          </cell>
          <cell r="F689">
            <v>7.7863040382836401E-3</v>
          </cell>
          <cell r="G689">
            <v>1.45946367291898E-2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1.23236206896945E-2</v>
          </cell>
          <cell r="E690">
            <v>0.96494733154429602</v>
          </cell>
          <cell r="F690">
            <v>2.5520655455328871</v>
          </cell>
          <cell r="G690">
            <v>6.9513173000178803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1.0012295496959571E-4</v>
          </cell>
          <cell r="E691">
            <v>7.8396910012844476E-3</v>
          </cell>
          <cell r="F691">
            <v>2.0734194124338919E-2</v>
          </cell>
          <cell r="G691">
            <v>5.6475807437912466E-2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1.6812579385667848E-4</v>
          </cell>
          <cell r="E692">
            <v>1.3164356501286428E-2</v>
          </cell>
          <cell r="F692">
            <v>3.4816719584350453E-2</v>
          </cell>
          <cell r="G692">
            <v>9.4833796726028291E-2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1.8049989694102938E-4</v>
          </cell>
          <cell r="E693">
            <v>5.4294037456633281E-4</v>
          </cell>
          <cell r="F693">
            <v>9.4230311089095193E-4</v>
          </cell>
          <cell r="G693">
            <v>3.5501880638219097E-3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1.4796637298964924E-3</v>
          </cell>
          <cell r="E694">
            <v>4.3504827794229933E-3</v>
          </cell>
          <cell r="F694">
            <v>7.3535592315203662E-3</v>
          </cell>
          <cell r="G694">
            <v>2.4897856540991838E-2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6.0750574826761197E-6</v>
          </cell>
          <cell r="F695">
            <v>7.0437925116413003E-6</v>
          </cell>
          <cell r="G695">
            <v>3.6736311251392699E-4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6.6559294939278791E-6</v>
          </cell>
          <cell r="F696">
            <v>1.3492000166603743E-5</v>
          </cell>
          <cell r="G696">
            <v>3.7431844198028473E-4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2.9709603938165858</v>
          </cell>
          <cell r="E697">
            <v>2.9721740015845719</v>
          </cell>
          <cell r="F697">
            <v>4.4006224837199213</v>
          </cell>
          <cell r="G697">
            <v>2.9658931852739499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3.18368798889021E-5</v>
          </cell>
          <cell r="E698">
            <v>1.16612611637865E-3</v>
          </cell>
          <cell r="F698">
            <v>2.0389632265815898E-2</v>
          </cell>
          <cell r="G698">
            <v>0.14069932564142101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3.0152938780579746</v>
          </cell>
          <cell r="E699">
            <v>3.0176199958159944</v>
          </cell>
          <cell r="F699">
            <v>4.4869528449122704</v>
          </cell>
          <cell r="G699">
            <v>3.1529000612231211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9.8563395987840471E-3</v>
          </cell>
          <cell r="E700">
            <v>2.0928691194834072E-2</v>
          </cell>
          <cell r="F700">
            <v>3.8810652892194937E-2</v>
          </cell>
          <cell r="G700">
            <v>0.80639683908410087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9.8563395987840471E-3</v>
          </cell>
          <cell r="E701">
            <v>2.0928691194834072E-2</v>
          </cell>
          <cell r="F701">
            <v>3.8810652892194937E-2</v>
          </cell>
          <cell r="G701">
            <v>0.80639683908410087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2.3282598497696102E-3</v>
          </cell>
          <cell r="E702">
            <v>2.0386525443443302E-3</v>
          </cell>
          <cell r="F702">
            <v>2.4540276142541099E-3</v>
          </cell>
          <cell r="G702">
            <v>8.0583601846484595E-2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2.3282598497696102E-3</v>
          </cell>
          <cell r="E703">
            <v>4.3669123941139504E-3</v>
          </cell>
          <cell r="F703">
            <v>6.8209400083680599E-3</v>
          </cell>
          <cell r="G703">
            <v>8.5292794438208905E-2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2.9122601479595799E-2</v>
          </cell>
          <cell r="E704">
            <v>18.73742560744968</v>
          </cell>
          <cell r="F704">
            <v>90.663312028853795</v>
          </cell>
          <cell r="G704">
            <v>328.32024175676827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2.1994235829156755E-4</v>
          </cell>
          <cell r="E705">
            <v>0.14151048900293786</v>
          </cell>
          <cell r="F705">
            <v>0.684715706875342</v>
          </cell>
          <cell r="G705">
            <v>2.4795699758290706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3.9730697789353134E-4</v>
          </cell>
          <cell r="E706">
            <v>0.25562654307571175</v>
          </cell>
          <cell r="F706">
            <v>1.2368801095341613</v>
          </cell>
          <cell r="G706">
            <v>4.4791301740350402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5.2863537526287715E-4</v>
          </cell>
          <cell r="E707">
            <v>2.9670544533762274E-3</v>
          </cell>
          <cell r="F707">
            <v>5.879079677663138E-3</v>
          </cell>
          <cell r="G707">
            <v>2.693115053402732E-2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5.2863537526287715E-4</v>
          </cell>
          <cell r="E708">
            <v>2.9670544533762274E-3</v>
          </cell>
          <cell r="F708">
            <v>5.879079677663138E-3</v>
          </cell>
          <cell r="G708">
            <v>2.693115053402732E-2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1.88326408335396E-3</v>
          </cell>
          <cell r="E709">
            <v>1.52945104598128E-3</v>
          </cell>
          <cell r="F709">
            <v>1.23491590433277E-3</v>
          </cell>
          <cell r="G709">
            <v>1.6868424829425399E-3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1.88326408335396E-3</v>
          </cell>
          <cell r="E710">
            <v>3.4127151293352402E-3</v>
          </cell>
          <cell r="F710">
            <v>4.6476310336680199E-3</v>
          </cell>
          <cell r="G710">
            <v>3.3440785673222099E-3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4.7874992131993337E-4</v>
          </cell>
          <cell r="F711">
            <v>5.8511662819146987E-4</v>
          </cell>
          <cell r="G711">
            <v>1.7902928933471714E-4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4.3658869685289696E-4</v>
          </cell>
          <cell r="F712">
            <v>5.3358819465656277E-4</v>
          </cell>
          <cell r="G712">
            <v>1.6326303284530698E-4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5.6101829186112801E-5</v>
          </cell>
          <cell r="F713">
            <v>2.3388944830787099E-5</v>
          </cell>
          <cell r="G713">
            <v>7.4477061366875901E-6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5.5354937067383398E-5</v>
          </cell>
          <cell r="F714">
            <v>7.5082175277578581E-5</v>
          </cell>
          <cell r="G714">
            <v>1.8038721112814107E-5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8.2264059703589307</v>
          </cell>
          <cell r="E715">
            <v>19.622518966648329</v>
          </cell>
          <cell r="F715">
            <v>23.215336732130648</v>
          </cell>
          <cell r="G715">
            <v>1.5296167805642929E-2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1.3907358516351066E-2</v>
          </cell>
          <cell r="E716">
            <v>3.3859483548146663E-2</v>
          </cell>
          <cell r="F716">
            <v>4.0486904777089168E-2</v>
          </cell>
          <cell r="G716">
            <v>2.708682990950149E-5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0.11222927653968538</v>
          </cell>
          <cell r="E717">
            <v>0.26770148658456028</v>
          </cell>
          <cell r="F717">
            <v>0.31671673577258802</v>
          </cell>
          <cell r="G717">
            <v>2.0867896051354583E-4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3.9533223932779101E-4</v>
          </cell>
          <cell r="F718">
            <v>1.44382935648742E-4</v>
          </cell>
          <cell r="G718">
            <v>6.4406099335119298E-8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3.0575236246334955E-4</v>
          </cell>
          <cell r="E719">
            <v>7.526467202471159E-4</v>
          </cell>
          <cell r="F719">
            <v>8.9697881635465129E-4</v>
          </cell>
          <cell r="G719">
            <v>-9.997121024507994E-8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0.438876093241377</v>
          </cell>
          <cell r="E720">
            <v>6.1933312912671301</v>
          </cell>
          <cell r="F720">
            <v>10.04828492645834</v>
          </cell>
          <cell r="G720">
            <v>13.803036567078692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3.1553483077386988E-3</v>
          </cell>
          <cell r="E721">
            <v>4.4527641651277927E-2</v>
          </cell>
          <cell r="F721">
            <v>7.2243258009815417E-2</v>
          </cell>
          <cell r="G721">
            <v>9.9238461024199046E-2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5.9873955421743119E-3</v>
          </cell>
          <cell r="E722">
            <v>8.4492923482498344E-2</v>
          </cell>
          <cell r="F722">
            <v>0.13708437826000472</v>
          </cell>
          <cell r="G722">
            <v>0.18830882083327005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1.5323322114038195E-4</v>
          </cell>
          <cell r="E723">
            <v>5.0195009871120363E-4</v>
          </cell>
          <cell r="F723">
            <v>7.341830719322424E-4</v>
          </cell>
          <cell r="G723">
            <v>4.2120492448251555E-4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1.7188339485569516E-4</v>
          </cell>
          <cell r="E724">
            <v>5.6304296400316596E-4</v>
          </cell>
          <cell r="F724">
            <v>8.2354125241344714E-4</v>
          </cell>
          <cell r="G724">
            <v>4.7247021116697188E-4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2.8655381498174701E-5</v>
          </cell>
          <cell r="F725">
            <v>1.9556933205026201E-5</v>
          </cell>
          <cell r="G725">
            <v>7.3188824753863398E-6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6.2831666479506751E-6</v>
          </cell>
          <cell r="E726">
            <v>3.4537847083725739E-5</v>
          </cell>
          <cell r="F726">
            <v>5.2110501948287521E-5</v>
          </cell>
          <cell r="G726">
            <v>2.5550803446840391E-5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37.840426845118699</v>
          </cell>
          <cell r="E727">
            <v>27.87765377022966</v>
          </cell>
          <cell r="F727">
            <v>33.840131454701805</v>
          </cell>
          <cell r="G727">
            <v>2.7896746463353491E-2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4.5153410736832544E-2</v>
          </cell>
          <cell r="E728">
            <v>3.3402826164720158E-2</v>
          </cell>
          <cell r="F728">
            <v>4.0584133634577628E-2</v>
          </cell>
          <cell r="G728">
            <v>3.4684151560703402E-5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0.51624047537678963</v>
          </cell>
          <cell r="E729">
            <v>0.38032269809317387</v>
          </cell>
          <cell r="F729">
            <v>0.46166618628515405</v>
          </cell>
          <cell r="G729">
            <v>3.805831713963647E-4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1.04201273077868E-5</v>
          </cell>
          <cell r="F730">
            <v>1.44094001881224E-5</v>
          </cell>
          <cell r="G730">
            <v>1.08885702030024E-8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9.8770368833323778E-4</v>
          </cell>
          <cell r="E731">
            <v>8.6994840739833279E-4</v>
          </cell>
          <cell r="F731">
            <v>8.8613264007148819E-4</v>
          </cell>
          <cell r="G731">
            <v>-1.9528405843512002E-7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3.767847335601301E-3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8.1219045891896594E-4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1.3667050082794301E-3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1.3667050082794301E-3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4.8737206159170703E-2</v>
          </cell>
          <cell r="E736">
            <v>4.9462135277068615E-2</v>
          </cell>
          <cell r="F736">
            <v>5.1213683082883231E-2</v>
          </cell>
          <cell r="G736">
            <v>6.5816891087161378E-2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4.8737206159170703E-2</v>
          </cell>
          <cell r="E737">
            <v>4.9462135277068615E-2</v>
          </cell>
          <cell r="F737">
            <v>5.1213683082883231E-2</v>
          </cell>
          <cell r="G737">
            <v>6.5816891087161378E-2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5.6262829297921103E-3</v>
          </cell>
          <cell r="E738">
            <v>1.94038893530154E-5</v>
          </cell>
          <cell r="F738">
            <v>2.0514484885122001E-4</v>
          </cell>
          <cell r="G738">
            <v>2.6407545704990199E-3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5.6262829297921103E-3</v>
          </cell>
          <cell r="E739">
            <v>5.6456868191451202E-3</v>
          </cell>
          <cell r="F739">
            <v>5.8508316679963396E-3</v>
          </cell>
          <cell r="G739">
            <v>6.9794653497314502E-3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9.0139889696241437E-4</v>
          </cell>
          <cell r="E740">
            <v>1.9321950628940702E-3</v>
          </cell>
          <cell r="F740">
            <v>2.0213085723141669E-3</v>
          </cell>
          <cell r="G740">
            <v>7.4024593401342774E-4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1.0860161302109692E-3</v>
          </cell>
          <cell r="E741">
            <v>2.3279316316985187E-3</v>
          </cell>
          <cell r="F741">
            <v>2.4352966495347528E-3</v>
          </cell>
          <cell r="G741">
            <v>8.9185712049433372E-4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2.2842811309806201E-5</v>
          </cell>
          <cell r="F742">
            <v>1.4591577816206499E-5</v>
          </cell>
          <cell r="G742">
            <v>5.9779438642896097E-6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5.3593683227500278E-5</v>
          </cell>
          <cell r="E743">
            <v>1.3037117849924328E-4</v>
          </cell>
          <cell r="F743">
            <v>1.3824734746197454E-4</v>
          </cell>
          <cell r="G743">
            <v>3.732306702197E-5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10.82877213496381</v>
          </cell>
          <cell r="E744">
            <v>8.6158344628404659</v>
          </cell>
          <cell r="F744">
            <v>10.260819385504613</v>
          </cell>
          <cell r="G744">
            <v>1.184703320279433E-2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8.5610127407236367E-3</v>
          </cell>
          <cell r="E745">
            <v>6.8416723657528803E-3</v>
          </cell>
          <cell r="F745">
            <v>8.1600046481137504E-3</v>
          </cell>
          <cell r="G745">
            <v>9.8795000682937094E-6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0.1477322255793154</v>
          </cell>
          <cell r="E746">
            <v>0.11754207998418099</v>
          </cell>
          <cell r="F746">
            <v>0.13998389339023989</v>
          </cell>
          <cell r="G746">
            <v>1.6162391818273295E-4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3.77875512956435E-6</v>
          </cell>
          <cell r="F747">
            <v>3.9811475000673703E-6</v>
          </cell>
          <cell r="G747">
            <v>3.3077960475755597E-8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1.9278160029703479E-4</v>
          </cell>
          <cell r="E748">
            <v>1.7371711389741035E-4</v>
          </cell>
          <cell r="F748">
            <v>1.7974817032420729E-4</v>
          </cell>
          <cell r="G748">
            <v>3.3844573450798779E-8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1.6962546551154071E-3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6.2803617800122693E-4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6.2575852283984902E-4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6.2575852283984902E-4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2.1672685991085787E-3</v>
          </cell>
          <cell r="E753">
            <v>2.6278812416445684E-3</v>
          </cell>
          <cell r="F753">
            <v>3.6222755915213071E-3</v>
          </cell>
          <cell r="G753">
            <v>4.2959306971245823E-2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2.1672685991085787E-3</v>
          </cell>
          <cell r="E754">
            <v>2.6278812416445684E-3</v>
          </cell>
          <cell r="F754">
            <v>3.6222755915213071E-3</v>
          </cell>
          <cell r="G754">
            <v>4.2959306971245823E-2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2.2627890506179498E-3</v>
          </cell>
          <cell r="E755">
            <v>1.5168940056789E-5</v>
          </cell>
          <cell r="F755">
            <v>9.3278767379742606E-5</v>
          </cell>
          <cell r="G755">
            <v>2.1983423395301E-3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2.2627890506179498E-3</v>
          </cell>
          <cell r="E756">
            <v>2.2779579906747399E-3</v>
          </cell>
          <cell r="F756">
            <v>2.37123675805448E-3</v>
          </cell>
          <cell r="G756">
            <v>4.56957909758458E-3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3.9973308685203928E-4</v>
          </cell>
          <cell r="F757">
            <v>6.1830108148288449E-4</v>
          </cell>
          <cell r="G757">
            <v>3.1778892702910653E-4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4.7771943737256084E-4</v>
          </cell>
          <cell r="F758">
            <v>7.3892918672049208E-4</v>
          </cell>
          <cell r="G758">
            <v>3.7978829478223371E-4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3.2628693302436003E-5</v>
          </cell>
          <cell r="F759">
            <v>1.92985430881426E-5</v>
          </cell>
          <cell r="G759">
            <v>7.2573855161160399E-6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3.2194302584244299E-5</v>
          </cell>
          <cell r="F760">
            <v>4.9281645416991686E-5</v>
          </cell>
          <cell r="G760">
            <v>2.1959387575278099E-5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2.6204502934938647</v>
          </cell>
          <cell r="E761">
            <v>0.34860402859745165</v>
          </cell>
          <cell r="F761">
            <v>0.49593055514163686</v>
          </cell>
          <cell r="G761">
            <v>4.774615229047291E-2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1.3815986834318176E-3</v>
          </cell>
          <cell r="E762">
            <v>1.8546059480531357E-4</v>
          </cell>
          <cell r="F762">
            <v>2.6601025153316318E-4</v>
          </cell>
          <cell r="G762">
            <v>2.6430536863632956E-5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3.5749662939889071E-2</v>
          </cell>
          <cell r="E763">
            <v>4.7558530504427307E-3</v>
          </cell>
          <cell r="F763">
            <v>6.765764735902278E-3</v>
          </cell>
          <cell r="G763">
            <v>6.5137997667766507E-4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E764">
            <v>4.7307731082073298E-7</v>
          </cell>
          <cell r="F764">
            <v>6.7610274839163001E-7</v>
          </cell>
          <cell r="G764">
            <v>5.37070138052862E-8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3.0218829538064062E-5</v>
          </cell>
          <cell r="E765">
            <v>3.5715884385527301E-6</v>
          </cell>
          <cell r="F765">
            <v>4.9442513745004578E-6</v>
          </cell>
          <cell r="G765">
            <v>-1.9310750205456862E-7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9.6188794424934398E-3</v>
          </cell>
          <cell r="E766">
            <v>3.9611946430072473E-2</v>
          </cell>
          <cell r="F766">
            <v>5.7910155469864069E-2</v>
          </cell>
          <cell r="G766">
            <v>2.5961150897813368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9.6188794424934398E-3</v>
          </cell>
          <cell r="E767">
            <v>3.9611946430072473E-2</v>
          </cell>
          <cell r="F767">
            <v>5.7910155469864069E-2</v>
          </cell>
          <cell r="G767">
            <v>2.5961150897813368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3.6861169752943298E-3</v>
          </cell>
          <cell r="E768">
            <v>3.6099989218421201E-3</v>
          </cell>
          <cell r="F768">
            <v>3.7210652872319101E-3</v>
          </cell>
          <cell r="G768">
            <v>0.32310051004875501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3.6861169752943298E-3</v>
          </cell>
          <cell r="E769">
            <v>7.2961158971364499E-3</v>
          </cell>
          <cell r="F769">
            <v>1.10171811843684E-2</v>
          </cell>
          <cell r="G769">
            <v>0.32748544141389502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9.6109047913661802E-4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5.4587298937679737E-4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3.5118383531799698E-4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3.5118383531799698E-4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1.2583784534899124E-3</v>
          </cell>
          <cell r="E774">
            <v>1.7503161666585787E-3</v>
          </cell>
          <cell r="F774">
            <v>2.422719046376635E-3</v>
          </cell>
          <cell r="G774">
            <v>4.7199790215623177E-2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1.2583784534899124E-3</v>
          </cell>
          <cell r="E775">
            <v>1.7503161666585787E-3</v>
          </cell>
          <cell r="F775">
            <v>2.422719046376635E-3</v>
          </cell>
          <cell r="G775">
            <v>4.7199790215623177E-2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2.5890262116082998E-3</v>
          </cell>
          <cell r="E776">
            <v>1.74581813650908E-5</v>
          </cell>
          <cell r="F776">
            <v>7.5791478301063395E-5</v>
          </cell>
          <cell r="G776">
            <v>2.33923958451709E-3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2.5890262116082998E-3</v>
          </cell>
          <cell r="E777">
            <v>2.60648439297339E-3</v>
          </cell>
          <cell r="F777">
            <v>2.6822758712744502E-3</v>
          </cell>
          <cell r="G777">
            <v>5.0215154557915502E-3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5.0040232972396877E-4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3.2035156088496865E-4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1.7761152399009E-4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1.7761152399009E-4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1.5350417553464536E-3</v>
          </cell>
          <cell r="E782">
            <v>2.118432822800739E-3</v>
          </cell>
          <cell r="F782">
            <v>2.9261404777811231E-3</v>
          </cell>
          <cell r="G782">
            <v>4.7702546367560987E-2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1.5350417553464536E-3</v>
          </cell>
          <cell r="E783">
            <v>2.118432822800739E-3</v>
          </cell>
          <cell r="F783">
            <v>2.9261404777811231E-3</v>
          </cell>
          <cell r="G783">
            <v>4.7702546367560987E-2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2.93674780444474E-3</v>
          </cell>
          <cell r="E784">
            <v>1.8467682127792799E-5</v>
          </cell>
          <cell r="F784">
            <v>4.2565721317769501E-5</v>
          </cell>
          <cell r="G784">
            <v>2.0798341365489302E-3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2.93674780444474E-3</v>
          </cell>
          <cell r="E785">
            <v>2.9552154865725298E-3</v>
          </cell>
          <cell r="F785">
            <v>2.9977812078903002E-3</v>
          </cell>
          <cell r="G785">
            <v>5.0776153444392303E-3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0.13412595369375799</v>
          </cell>
          <cell r="F786">
            <v>0.28755034179832101</v>
          </cell>
          <cell r="G786">
            <v>2.9792238403456552E-2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2.8593921996517571E-4</v>
          </cell>
          <cell r="F787">
            <v>6.2856532996014274E-4</v>
          </cell>
          <cell r="G787">
            <v>6.7452481415699098E-5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2.3781197463432296E-3</v>
          </cell>
          <cell r="F788">
            <v>5.0984103155730749E-3</v>
          </cell>
          <cell r="G788">
            <v>5.282311773662521E-4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6.6904024722344503E-6</v>
          </cell>
          <cell r="F789">
            <v>6.15267661752623E-6</v>
          </cell>
          <cell r="G789">
            <v>4.0539351550895102E-7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6.6904024722344503E-6</v>
          </cell>
          <cell r="F790">
            <v>1.2804057735027064E-5</v>
          </cell>
          <cell r="G790">
            <v>1.2196658999539992E-6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8.2614091879356893E-2</v>
          </cell>
          <cell r="F791">
            <v>0.293757872770194</v>
          </cell>
          <cell r="G791">
            <v>3.5957981924027001E-2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1.2450423545269407E-4</v>
          </cell>
          <cell r="F792">
            <v>4.5760668100620395E-4</v>
          </cell>
          <cell r="G792">
            <v>5.7425674646853255E-5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1.4647888631091652E-3</v>
          </cell>
          <cell r="F793">
            <v>5.2084729214573371E-3</v>
          </cell>
          <cell r="G793">
            <v>6.3755287099338679E-4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2.72430649819412E-6</v>
          </cell>
          <cell r="F794">
            <v>5.5728982283078299E-6</v>
          </cell>
          <cell r="G794">
            <v>1.5396974258836E-7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2.72430649819412E-6</v>
          </cell>
          <cell r="F795">
            <v>8.2776169049815855E-6</v>
          </cell>
          <cell r="G795">
            <v>4.2126992344447964E-7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0.44429367441163797</v>
          </cell>
          <cell r="E796">
            <v>0.441711829193707</v>
          </cell>
          <cell r="F796">
            <v>0.43407115383775102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6.0311500047996E-2</v>
          </cell>
          <cell r="E797">
            <v>4.8086489161902661E-2</v>
          </cell>
          <cell r="F797">
            <v>2.9751001412029274E-2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6.0613052443606891E-3</v>
          </cell>
          <cell r="E798">
            <v>6.026082253665856E-3</v>
          </cell>
          <cell r="F798">
            <v>5.9218438449897869E-3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1.30332047521267E-3</v>
          </cell>
          <cell r="E799">
            <v>1.04265638017014E-3</v>
          </cell>
          <cell r="F799">
            <v>6.4448157599793503E-4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0.12045274774294</v>
          </cell>
          <cell r="F800">
            <v>0.722664449632068</v>
          </cell>
          <cell r="G800">
            <v>6.6189740758268806E-2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1.2050001788873909E-4</v>
          </cell>
          <cell r="F801">
            <v>7.5260424562096924E-4</v>
          </cell>
          <cell r="G801">
            <v>7.0223354229547531E-5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2.1356870167187924E-3</v>
          </cell>
          <cell r="F802">
            <v>1.2813199461561493E-2</v>
          </cell>
          <cell r="G802">
            <v>1.1735769637990902E-3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2.3779028944992601E-6</v>
          </cell>
          <cell r="F803">
            <v>1.08807253855762E-5</v>
          </cell>
          <cell r="G803">
            <v>4.3880139559581498E-8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2.3779028944992601E-6</v>
          </cell>
          <cell r="F804">
            <v>1.32586282800755E-5</v>
          </cell>
          <cell r="G804">
            <v>1.4834804970919871E-7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2.8830232576250201E-2</v>
          </cell>
          <cell r="F805">
            <v>8.2350217687518407E-2</v>
          </cell>
          <cell r="G805">
            <v>5.6572224205277397E-2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1.926573020955691E-5</v>
          </cell>
          <cell r="F806">
            <v>5.6434863752907247E-5</v>
          </cell>
          <cell r="G806">
            <v>4.0200438603369262E-5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5.1117433645833687E-4</v>
          </cell>
          <cell r="F807">
            <v>1.460110242686498E-3</v>
          </cell>
          <cell r="G807">
            <v>1.0030536206609487E-3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E808">
            <v>6.8204641675086095E-8</v>
          </cell>
          <cell r="F808">
            <v>7.2135246483347502E-8</v>
          </cell>
          <cell r="G808">
            <v>4.5641684030385201E-8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E809">
            <v>6.8204641675086095E-8</v>
          </cell>
          <cell r="F809">
            <v>1.0981129473904671E-7</v>
          </cell>
          <cell r="G809">
            <v>4.8358719496030094E-8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18.874840002774317</v>
          </cell>
          <cell r="C9">
            <v>21.791946008281279</v>
          </cell>
          <cell r="D9">
            <v>32.398774427637392</v>
          </cell>
          <cell r="E9">
            <v>54.41742758755997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82.760065957019648</v>
          </cell>
          <cell r="C14">
            <v>82.759336656114726</v>
          </cell>
          <cell r="D14">
            <v>76.100906333578592</v>
          </cell>
          <cell r="E14">
            <v>69.908765460793006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7">
          <cell r="B17">
            <v>12.841988463511951</v>
          </cell>
          <cell r="C17">
            <v>16.070677621855776</v>
          </cell>
          <cell r="D17">
            <v>2.4652736598746894</v>
          </cell>
          <cell r="E17">
            <v>44.692161507987691</v>
          </cell>
        </row>
        <row r="18">
          <cell r="B18">
            <v>3.9634894610343877E-2</v>
          </cell>
          <cell r="C18">
            <v>2.5645816070054618E-3</v>
          </cell>
          <cell r="D18">
            <v>3.759870426523073E-2</v>
          </cell>
          <cell r="E18">
            <v>5.1097582842592843E-3</v>
          </cell>
        </row>
        <row r="19">
          <cell r="B19">
            <v>6.507014407313485</v>
          </cell>
          <cell r="C19">
            <v>7.3098093015021393</v>
          </cell>
          <cell r="D19">
            <v>8.3571361255006948</v>
          </cell>
          <cell r="E19">
            <v>7.7711274439721532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0.96593191713005089</v>
          </cell>
          <cell r="C24">
            <v>1.9314762520194165E-2</v>
          </cell>
          <cell r="D24">
            <v>7.9851462797953549E-2</v>
          </cell>
          <cell r="E24">
            <v>0</v>
          </cell>
        </row>
        <row r="25">
          <cell r="B25">
            <v>3.5079983935050367E-3</v>
          </cell>
          <cell r="C25">
            <v>6.9941105787251099E-3</v>
          </cell>
          <cell r="D25">
            <v>8.7588826730875084E-3</v>
          </cell>
          <cell r="E25">
            <v>5.6067726834903492E-2</v>
          </cell>
        </row>
        <row r="26">
          <cell r="B26">
            <v>1.5475618152654813</v>
          </cell>
          <cell r="C26">
            <v>1.4286404573739921</v>
          </cell>
          <cell r="D26">
            <v>1.3579177780170089</v>
          </cell>
          <cell r="E26">
            <v>1.4936473504932808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1.8349123239430553E-3</v>
          </cell>
          <cell r="C28">
            <v>2.4504348226983604E-3</v>
          </cell>
          <cell r="D28">
            <v>8.458607703420223E-3</v>
          </cell>
          <cell r="E28">
            <v>1.9039403292679326E-3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0.67022153480345359</v>
          </cell>
          <cell r="C39">
            <v>0.2165257068792647</v>
          </cell>
          <cell r="D39">
            <v>0.47426138968811049</v>
          </cell>
          <cell r="E39">
            <v>5.1811120007294945E-2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7.0553886358753079E-2</v>
          </cell>
          <cell r="C41">
            <v>0.16656546239737904</v>
          </cell>
          <cell r="D41">
            <v>0.12551260495420383</v>
          </cell>
          <cell r="E41">
            <v>0.16131818156861827</v>
          </cell>
        </row>
        <row r="42">
          <cell r="B42">
            <v>0.17256107231247877</v>
          </cell>
          <cell r="C42">
            <v>0.40268154372963511</v>
          </cell>
          <cell r="D42">
            <v>1.2506960614241154</v>
          </cell>
          <cell r="E42">
            <v>2.5438574257938686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0.23014468712349984</v>
          </cell>
          <cell r="C44">
            <v>0.24358250636368389</v>
          </cell>
          <cell r="D44">
            <v>1.2725045049717524E-2</v>
          </cell>
          <cell r="E44">
            <v>1.446874655622681E-2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3.9655311133265141E-2</v>
          </cell>
          <cell r="C48">
            <v>1.2010640760934775E-2</v>
          </cell>
          <cell r="D48">
            <v>1.7645600932978896E-2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5.2667992513847454E-2</v>
          </cell>
          <cell r="C51">
            <v>1.6451254986357702E-2</v>
          </cell>
          <cell r="D51">
            <v>3.8739416109709636E-2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0.95943960649442961</v>
          </cell>
          <cell r="C54">
            <v>1.1064357631516968</v>
          </cell>
          <cell r="D54">
            <v>1.1064075775951663</v>
          </cell>
          <cell r="E54">
            <v>1.1068242607460734</v>
          </cell>
        </row>
        <row r="55">
          <cell r="B55">
            <v>0.59464229570300875</v>
          </cell>
          <cell r="C55">
            <v>0.62664260984377185</v>
          </cell>
          <cell r="D55">
            <v>0.53747126247534416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4.153084339351247E-2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9.9717135625453548E-2</v>
          </cell>
          <cell r="C70">
            <v>4.6896170324756133E-2</v>
          </cell>
          <cell r="D70">
            <v>6.7124356785342967E-2</v>
          </cell>
          <cell r="E70">
            <v>9.463092686678605E-2</v>
          </cell>
        </row>
        <row r="71">
          <cell r="B71">
            <v>6.5281552500512124E-2</v>
          </cell>
          <cell r="C71">
            <v>6.1819133058506948E-2</v>
          </cell>
          <cell r="D71">
            <v>6.3527400894878738E-2</v>
          </cell>
          <cell r="E71">
            <v>0.18716294914312429</v>
          </cell>
        </row>
        <row r="72">
          <cell r="B72">
            <v>6.6159788967022293E-2</v>
          </cell>
          <cell r="C72">
            <v>5.603376658909813E-2</v>
          </cell>
          <cell r="D72">
            <v>5.776570356781402E-2</v>
          </cell>
          <cell r="E72">
            <v>0.12783120503251952</v>
          </cell>
        </row>
        <row r="73">
          <cell r="B73">
            <v>2.4299972021673343E-2</v>
          </cell>
          <cell r="C73">
            <v>2.4394370907758912E-2</v>
          </cell>
          <cell r="D73">
            <v>0.13167801759902142</v>
          </cell>
          <cell r="E73">
            <v>0.28044231849520646</v>
          </cell>
        </row>
        <row r="74">
          <cell r="B74">
            <v>5.1266319642339492E-2</v>
          </cell>
          <cell r="C74">
            <v>5.1392459042663659E-2</v>
          </cell>
          <cell r="D74">
            <v>0.28596347365523234</v>
          </cell>
          <cell r="E74">
            <v>0.81663865986003947</v>
          </cell>
        </row>
        <row r="75">
          <cell r="B75">
            <v>4.6514744505135805E-2</v>
          </cell>
          <cell r="C75">
            <v>4.6633373971838789E-2</v>
          </cell>
          <cell r="D75">
            <v>8.9337674316246021E-2</v>
          </cell>
          <cell r="E75">
            <v>9.1715330631372854E-2</v>
          </cell>
        </row>
        <row r="76">
          <cell r="B76">
            <v>2.527381419877003E-2</v>
          </cell>
          <cell r="C76">
            <v>2.5340972593243589E-2</v>
          </cell>
          <cell r="D76">
            <v>0.18634772672368052</v>
          </cell>
          <cell r="E76">
            <v>0.51232319654089487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1.8036467630566795</v>
          </cell>
          <cell r="C91">
            <v>3.7114377824545387E-2</v>
          </cell>
          <cell r="D91">
            <v>0.15994218272706601</v>
          </cell>
          <cell r="E91">
            <v>0</v>
          </cell>
        </row>
        <row r="92">
          <cell r="B92">
            <v>6.3464070776262399E-2</v>
          </cell>
          <cell r="C92">
            <v>0.48747789881660691</v>
          </cell>
          <cell r="D92">
            <v>0.49142424976382193</v>
          </cell>
          <cell r="E92">
            <v>0.15455314246977811</v>
          </cell>
        </row>
        <row r="93">
          <cell r="B93">
            <v>14.461386032860608</v>
          </cell>
          <cell r="C93">
            <v>13.06429502478572</v>
          </cell>
          <cell r="D93">
            <v>12.384524026407272</v>
          </cell>
          <cell r="E93">
            <v>13.423956535214588</v>
          </cell>
        </row>
        <row r="94">
          <cell r="B94">
            <v>9.436691951707139E-3</v>
          </cell>
          <cell r="C94">
            <v>1.2602236231020103E-2</v>
          </cell>
          <cell r="D94">
            <v>4.3501411046161162E-2</v>
          </cell>
          <cell r="E94">
            <v>9.7916931219493644E-3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1.7331149429487607</v>
          </cell>
          <cell r="C97">
            <v>0.70059861527119149</v>
          </cell>
          <cell r="D97">
            <v>7.2432940192724088E-2</v>
          </cell>
          <cell r="E97">
            <v>0</v>
          </cell>
        </row>
        <row r="98">
          <cell r="B98">
            <v>0.90187791691648245</v>
          </cell>
          <cell r="C98">
            <v>0.90182699799917021</v>
          </cell>
          <cell r="D98">
            <v>0.90183460687170802</v>
          </cell>
          <cell r="E98">
            <v>0.90182760903795767</v>
          </cell>
        </row>
        <row r="99">
          <cell r="B99">
            <v>2.9006969043703221</v>
          </cell>
          <cell r="C99">
            <v>7.6011446679458627</v>
          </cell>
          <cell r="D99">
            <v>7.5220312876419371</v>
          </cell>
          <cell r="E99">
            <v>2.1306640705997935</v>
          </cell>
        </row>
        <row r="100">
          <cell r="B100">
            <v>0.18434257993190098</v>
          </cell>
          <cell r="C100">
            <v>0.18378174247741455</v>
          </cell>
          <cell r="D100">
            <v>7.1846489861079567E-3</v>
          </cell>
          <cell r="E100">
            <v>8.9284904955794931E-3</v>
          </cell>
        </row>
        <row r="101">
          <cell r="B101">
            <v>2.4517557807960362</v>
          </cell>
          <cell r="C101">
            <v>2.2126698813532819</v>
          </cell>
          <cell r="D101">
            <v>1.8971086139180009</v>
          </cell>
          <cell r="E101">
            <v>1.71362856189693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1.2798217833901015E-3</v>
          </cell>
        </row>
        <row r="104">
          <cell r="B104">
            <v>0.9300285020017458</v>
          </cell>
          <cell r="C104">
            <v>2.0129949751913112</v>
          </cell>
          <cell r="D104">
            <v>1.3104198277838217</v>
          </cell>
          <cell r="E104">
            <v>1.2420320861859517</v>
          </cell>
        </row>
        <row r="105">
          <cell r="B105">
            <v>0.65994744305975483</v>
          </cell>
          <cell r="C105">
            <v>1.4023866118570587</v>
          </cell>
          <cell r="D105">
            <v>3.7144502899717744</v>
          </cell>
          <cell r="E105">
            <v>5.3812368622562738</v>
          </cell>
        </row>
        <row r="106">
          <cell r="B106">
            <v>1.9356600170775753</v>
          </cell>
          <cell r="C106">
            <v>1.9671878820404487</v>
          </cell>
          <cell r="D106">
            <v>9.6382372040252254E-2</v>
          </cell>
          <cell r="E106">
            <v>9.748796287784349E-2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9.5466489765268031E-2</v>
          </cell>
          <cell r="C109">
            <v>2.8622183062037208E-2</v>
          </cell>
          <cell r="D109">
            <v>4.1406476263365882E-2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0.11441667339215134</v>
          </cell>
          <cell r="C112">
            <v>3.539099865800819E-2</v>
          </cell>
          <cell r="D112">
            <v>8.2109750926786962E-2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1.4244197113477317</v>
          </cell>
          <cell r="C115">
            <v>1.5790260566022303</v>
          </cell>
          <cell r="D115">
            <v>1.4835438423017189</v>
          </cell>
          <cell r="E115">
            <v>1.3249726680492411</v>
          </cell>
        </row>
        <row r="116">
          <cell r="B116">
            <v>0.69286105154594424</v>
          </cell>
          <cell r="C116">
            <v>0.75112864504069488</v>
          </cell>
          <cell r="D116">
            <v>0.67123691079052017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3.125742423827519E-2</v>
          </cell>
        </row>
        <row r="123">
          <cell r="B123">
            <v>0</v>
          </cell>
          <cell r="C123">
            <v>4.1398524482292398</v>
          </cell>
          <cell r="D123">
            <v>4.2653255612942047</v>
          </cell>
          <cell r="E123">
            <v>11.51943336264898</v>
          </cell>
        </row>
      </sheetData>
      <sheetData sheetId="59">
        <row r="13">
          <cell r="B13">
            <v>16.052497217129396</v>
          </cell>
          <cell r="C13">
            <v>20.088411546215649</v>
          </cell>
          <cell r="D13">
            <v>3.0816247243326447</v>
          </cell>
          <cell r="E13">
            <v>55.865174673623464</v>
          </cell>
        </row>
        <row r="14">
          <cell r="B14">
            <v>250.94871707957057</v>
          </cell>
          <cell r="C14">
            <v>253.29674232384002</v>
          </cell>
          <cell r="D14">
            <v>233.18388719099903</v>
          </cell>
          <cell r="E14">
            <v>211.82063694625381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8">
          <cell r="B18">
            <v>0.23725264665402263</v>
          </cell>
          <cell r="C18">
            <v>0.29228510052458495</v>
          </cell>
          <cell r="D18">
            <v>0.13554092101139664</v>
          </cell>
          <cell r="E18">
            <v>1.7718494471028752E-2</v>
          </cell>
        </row>
        <row r="19">
          <cell r="B19">
            <v>18.203630783692468</v>
          </cell>
          <cell r="C19">
            <v>20.449481328055573</v>
          </cell>
          <cell r="D19">
            <v>23.37941964085519</v>
          </cell>
          <cell r="E19">
            <v>21.740037121186226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2.9381085723922289</v>
          </cell>
          <cell r="M22">
            <v>0.90428017575288155</v>
          </cell>
          <cell r="N22">
            <v>0.97661515684633826</v>
          </cell>
          <cell r="O22">
            <v>3.6898687163034349E-2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7.6066531274727234E-2</v>
          </cell>
          <cell r="M23">
            <v>3.2361148076185599E-2</v>
          </cell>
          <cell r="N23">
            <v>5.5767105766502109E-2</v>
          </cell>
          <cell r="O23">
            <v>4.216440440502317E-3</v>
          </cell>
        </row>
        <row r="24">
          <cell r="B24">
            <v>4.0101610852921787</v>
          </cell>
          <cell r="C24">
            <v>8.3666921957301368E-2</v>
          </cell>
          <cell r="D24">
            <v>0.34797184820040949</v>
          </cell>
          <cell r="E24">
            <v>0</v>
          </cell>
        </row>
        <row r="25">
          <cell r="B25">
            <v>1.4503910075075148E-2</v>
          </cell>
          <cell r="C25">
            <v>3.3081899380229367E-2</v>
          </cell>
          <cell r="D25">
            <v>4.4179269800994389E-2</v>
          </cell>
          <cell r="E25">
            <v>0.21209323772649974</v>
          </cell>
        </row>
        <row r="26">
          <cell r="B26">
            <v>40.318253897903311</v>
          </cell>
          <cell r="C26">
            <v>38.764985734634266</v>
          </cell>
          <cell r="D26">
            <v>36.645937194033309</v>
          </cell>
          <cell r="E26">
            <v>40.836478007374645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0.1360994082020909</v>
          </cell>
          <cell r="C28">
            <v>0.31375256943019902</v>
          </cell>
          <cell r="D28">
            <v>9.7893394281909907E-2</v>
          </cell>
          <cell r="E28">
            <v>1.9623593185179356E-2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2.1011342061765723</v>
          </cell>
          <cell r="C39">
            <v>0.61721584389619677</v>
          </cell>
          <cell r="D39">
            <v>1.3509293130573314</v>
          </cell>
          <cell r="E39">
            <v>0.14801445937273203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0.39916750447814997</v>
          </cell>
          <cell r="C41">
            <v>0.67873589045973448</v>
          </cell>
          <cell r="D41">
            <v>0.51433225293203977</v>
          </cell>
          <cell r="E41">
            <v>0.61514381707296373</v>
          </cell>
        </row>
        <row r="42">
          <cell r="B42">
            <v>0.87271771145520349</v>
          </cell>
          <cell r="C42">
            <v>1.7856104341453656</v>
          </cell>
          <cell r="D42">
            <v>4.6818413972954458</v>
          </cell>
          <cell r="E42">
            <v>7.5215718293949587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3.7120638912944655</v>
          </cell>
          <cell r="C44">
            <v>3.9300157115484753</v>
          </cell>
          <cell r="D44">
            <v>0.20533323866609896</v>
          </cell>
          <cell r="E44">
            <v>0.23346986813967852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0.36964362496619191</v>
          </cell>
          <cell r="C48">
            <v>4.7999032411889839E-2</v>
          </cell>
          <cell r="D48">
            <v>0.16050359970602099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0.40922350646158312</v>
          </cell>
          <cell r="C51">
            <v>6.0887781202826972E-2</v>
          </cell>
          <cell r="D51">
            <v>0.22886442134637469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2.6455257427952419</v>
          </cell>
          <cell r="C54">
            <v>3.0501497583617807</v>
          </cell>
          <cell r="D54">
            <v>3.0613866770378437</v>
          </cell>
          <cell r="E54">
            <v>3.0405769708236456</v>
          </cell>
        </row>
        <row r="55">
          <cell r="B55">
            <v>1.9325400449012506</v>
          </cell>
          <cell r="C55">
            <v>1.7422029624537152</v>
          </cell>
          <cell r="D55">
            <v>1.5435360398165627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8.7433354512657865E-2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0.14259270360686971</v>
          </cell>
          <cell r="C63">
            <v>6.7111088028825455E-2</v>
          </cell>
          <cell r="D63">
            <v>9.591150856597179E-2</v>
          </cell>
          <cell r="E63">
            <v>0.13523474292896367</v>
          </cell>
        </row>
        <row r="64">
          <cell r="B64">
            <v>7.568817361514843E-2</v>
          </cell>
          <cell r="C64">
            <v>7.1510951842750053E-2</v>
          </cell>
          <cell r="D64">
            <v>7.3281443349705988E-2</v>
          </cell>
          <cell r="E64">
            <v>0.21589922497023142</v>
          </cell>
        </row>
        <row r="65">
          <cell r="B65">
            <v>7.3999378163524338E-2</v>
          </cell>
          <cell r="C65">
            <v>6.2665356006377029E-2</v>
          </cell>
          <cell r="D65">
            <v>6.4617068089746862E-2</v>
          </cell>
          <cell r="E65">
            <v>0.14298741531296721</v>
          </cell>
        </row>
        <row r="66">
          <cell r="B66">
            <v>2.6988860836167975E-2</v>
          </cell>
          <cell r="C66">
            <v>2.7063249737833448E-2</v>
          </cell>
          <cell r="D66">
            <v>0.14563440610302489</v>
          </cell>
          <cell r="E66">
            <v>0.31014545012189976</v>
          </cell>
        </row>
        <row r="67">
          <cell r="B67">
            <v>5.6926372581146967E-2</v>
          </cell>
          <cell r="C67">
            <v>5.7040408185467774E-2</v>
          </cell>
          <cell r="D67">
            <v>0.31627214219597655</v>
          </cell>
          <cell r="E67">
            <v>0.90312027066322043</v>
          </cell>
        </row>
        <row r="68">
          <cell r="B68">
            <v>5.1671772909639355E-2</v>
          </cell>
          <cell r="C68">
            <v>5.1777503542751388E-2</v>
          </cell>
          <cell r="D68">
            <v>9.8830390023417036E-2</v>
          </cell>
          <cell r="E68">
            <v>0.10145308080786458</v>
          </cell>
        </row>
        <row r="69">
          <cell r="B69">
            <v>2.8065798617031283E-2</v>
          </cell>
          <cell r="C69">
            <v>2.8114427363918042E-2</v>
          </cell>
          <cell r="D69">
            <v>0.20609229772441351</v>
          </cell>
          <cell r="E69">
            <v>0.56657435010208379</v>
          </cell>
        </row>
        <row r="90">
          <cell r="B90">
            <v>2.0283279054032661</v>
          </cell>
          <cell r="C90">
            <v>0.81993622386271225</v>
          </cell>
          <cell r="D90">
            <v>8.4770923279525318E-2</v>
          </cell>
          <cell r="E90">
            <v>0</v>
          </cell>
        </row>
        <row r="91">
          <cell r="B91">
            <v>1.1840860449880417</v>
          </cell>
          <cell r="C91">
            <v>1.1840191929471144</v>
          </cell>
          <cell r="D91">
            <v>1.1840291827246885</v>
          </cell>
          <cell r="E91">
            <v>1.1840199951870698</v>
          </cell>
        </row>
        <row r="92">
          <cell r="B92">
            <v>1.4503484521851611</v>
          </cell>
          <cell r="C92">
            <v>3.8005723339729314</v>
          </cell>
          <cell r="D92">
            <v>3.7610156438209685</v>
          </cell>
          <cell r="E92">
            <v>1.0653320352998967</v>
          </cell>
        </row>
        <row r="93">
          <cell r="B93">
            <v>0.21574287415336313</v>
          </cell>
          <cell r="C93">
            <v>0.2150865055357141</v>
          </cell>
          <cell r="D93">
            <v>8.4084578973484207E-3</v>
          </cell>
          <cell r="E93">
            <v>1.0449339496490144E-2</v>
          </cell>
        </row>
        <row r="94">
          <cell r="B94">
            <v>3.5025082582800544</v>
          </cell>
          <cell r="C94">
            <v>3.1609569733618343</v>
          </cell>
          <cell r="D94">
            <v>2.7101551627400027</v>
          </cell>
          <cell r="E94">
            <v>2.4480408027098997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2.5596435667802012E-3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1.3799508160764142</v>
          </cell>
          <cell r="D97">
            <v>1.4217751870980675</v>
          </cell>
          <cell r="E97">
            <v>3.8398111208829926</v>
          </cell>
        </row>
      </sheetData>
      <sheetData sheetId="60">
        <row r="14">
          <cell r="B14">
            <v>3.0805574440748962</v>
          </cell>
          <cell r="C14">
            <v>3.0805512918717244</v>
          </cell>
          <cell r="D14">
            <v>2.8402357421350652</v>
          </cell>
          <cell r="E14">
            <v>2.6090378441108784</v>
          </cell>
        </row>
        <row r="15">
          <cell r="B15">
            <v>7.3394300010600002</v>
          </cell>
          <cell r="C15">
            <v>7.4068633440738028</v>
          </cell>
          <cell r="D15">
            <v>7.423698135618003</v>
          </cell>
          <cell r="E15">
            <v>7.4237970576586196</v>
          </cell>
        </row>
        <row r="16">
          <cell r="B16">
            <v>4.7247299999999992</v>
          </cell>
          <cell r="C16">
            <v>4.8168369740620012</v>
          </cell>
          <cell r="D16">
            <v>4.8809690325953117</v>
          </cell>
          <cell r="E16">
            <v>4.9033383858695121</v>
          </cell>
        </row>
        <row r="17">
          <cell r="B17">
            <v>3.3394499999999998</v>
          </cell>
          <cell r="C17">
            <v>3.9759002044846681</v>
          </cell>
          <cell r="D17">
            <v>4.364321258363618</v>
          </cell>
          <cell r="E17">
            <v>4.364321258363618</v>
          </cell>
        </row>
        <row r="18">
          <cell r="B18">
            <v>8.1232829986476796E-2</v>
          </cell>
          <cell r="C18">
            <v>3.5789385088572843E-2</v>
          </cell>
          <cell r="D18">
            <v>3.26621325943348E-2</v>
          </cell>
          <cell r="E18">
            <v>4.0101408809086622E-2</v>
          </cell>
        </row>
        <row r="19">
          <cell r="B19">
            <v>0.27864794579481322</v>
          </cell>
          <cell r="C19">
            <v>0.27853140953903349</v>
          </cell>
          <cell r="D19">
            <v>0.3117939057380455</v>
          </cell>
          <cell r="E19">
            <v>0.28992250172190026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0.10832730174213549</v>
          </cell>
          <cell r="C24">
            <v>6.1850074897967927E-3</v>
          </cell>
          <cell r="D24">
            <v>6.1699499611585912E-3</v>
          </cell>
          <cell r="E24">
            <v>-9.4486187225961693E-6</v>
          </cell>
        </row>
        <row r="25">
          <cell r="B25">
            <v>6.3088220311879883E-4</v>
          </cell>
          <cell r="C25">
            <v>1.2370814708184685E-3</v>
          </cell>
          <cell r="D25">
            <v>1.5587230261404142E-3</v>
          </cell>
          <cell r="E25">
            <v>3.8329771409397612E-3</v>
          </cell>
        </row>
        <row r="26">
          <cell r="B26">
            <v>7.8399388895541613E-2</v>
          </cell>
          <cell r="C26">
            <v>7.1209981135797421E-2</v>
          </cell>
          <cell r="D26">
            <v>7.1168742030482721E-2</v>
          </cell>
          <cell r="E26">
            <v>7.4049215095624857E-2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1.0757283737330673E-2</v>
          </cell>
          <cell r="C28">
            <v>1.0406777987479129E-2</v>
          </cell>
          <cell r="D28">
            <v>1.0067985908567135E-2</v>
          </cell>
          <cell r="E28">
            <v>5.9965843477021719E-3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9.0662617745997209E-2</v>
          </cell>
          <cell r="D33">
            <v>8.365853523992621E-2</v>
          </cell>
          <cell r="E33">
            <v>0.34088408587087532</v>
          </cell>
        </row>
        <row r="34">
          <cell r="B34">
            <v>0</v>
          </cell>
          <cell r="C34">
            <v>0</v>
          </cell>
          <cell r="D34">
            <v>4.4864911900832499E-2</v>
          </cell>
          <cell r="E34">
            <v>0.12144667718272187</v>
          </cell>
        </row>
        <row r="35">
          <cell r="B35">
            <v>1.1186210000000001</v>
          </cell>
          <cell r="C35">
            <v>1.652929024573641</v>
          </cell>
          <cell r="D35">
            <v>3.56113268765997</v>
          </cell>
          <cell r="E35">
            <v>5.6147042074852802</v>
          </cell>
        </row>
        <row r="36">
          <cell r="B36">
            <v>0.67885700000000004</v>
          </cell>
          <cell r="C36">
            <v>1.1561786480868297</v>
          </cell>
          <cell r="D36">
            <v>1.487477375800486</v>
          </cell>
          <cell r="E36">
            <v>3.2249065931547394</v>
          </cell>
        </row>
        <row r="37">
          <cell r="B37">
            <v>0.27424799999999999</v>
          </cell>
          <cell r="C37">
            <v>0.43927434041024166</v>
          </cell>
          <cell r="D37">
            <v>0.91570631028671357</v>
          </cell>
          <cell r="E37">
            <v>0.91192177711104327</v>
          </cell>
        </row>
        <row r="38">
          <cell r="B38">
            <v>0.90292899999999998</v>
          </cell>
          <cell r="C38">
            <v>1.1231031287168727</v>
          </cell>
          <cell r="D38">
            <v>3.1798359897832205</v>
          </cell>
          <cell r="E38">
            <v>5.1607326569476903</v>
          </cell>
        </row>
        <row r="39">
          <cell r="B39">
            <v>4.5701033344932203E-2</v>
          </cell>
          <cell r="C39">
            <v>3.3830713134860552E-2</v>
          </cell>
          <cell r="D39">
            <v>2.5276254932664131E-2</v>
          </cell>
          <cell r="E39">
            <v>1.2310992878392848E-2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8.2975477927690958E-3</v>
          </cell>
          <cell r="C41">
            <v>2.416230990243735E-2</v>
          </cell>
          <cell r="D41">
            <v>2.4136818839332119E-2</v>
          </cell>
          <cell r="E41">
            <v>2.4120541974585231E-2</v>
          </cell>
        </row>
        <row r="42">
          <cell r="B42">
            <v>1.2870252393461221E-2</v>
          </cell>
          <cell r="C42">
            <v>1.5038137398861954E-2</v>
          </cell>
          <cell r="D42">
            <v>4.631644953856081E-2</v>
          </cell>
          <cell r="E42">
            <v>9.4195697419412902E-2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4.0001951834753802E-2</v>
          </cell>
          <cell r="C44">
            <v>1.0543202720331026E-2</v>
          </cell>
          <cell r="D44">
            <v>4.779181618425471E-3</v>
          </cell>
          <cell r="E44">
            <v>4.287235883088731E-3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4.186609550019503E-3</v>
          </cell>
          <cell r="C48">
            <v>2.5028330250821723E-3</v>
          </cell>
          <cell r="D48">
            <v>2.0891366071578588E-3</v>
          </cell>
          <cell r="E48">
            <v>1.8233478151781575E-3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1.2036453705936865E-2</v>
          </cell>
          <cell r="C51">
            <v>4.8900488044276366E-3</v>
          </cell>
          <cell r="D51">
            <v>4.8261182680332977E-3</v>
          </cell>
          <cell r="E51">
            <v>3.4719353208816361E-3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7.3508874322882001E-2</v>
          </cell>
          <cell r="C54">
            <v>8.4809279494260148E-2</v>
          </cell>
          <cell r="D54">
            <v>8.4799500733820837E-2</v>
          </cell>
          <cell r="E54">
            <v>8.49347801261357E-2</v>
          </cell>
        </row>
        <row r="55">
          <cell r="B55">
            <v>6.5195402228535926E-2</v>
          </cell>
          <cell r="C55">
            <v>4.8067676275953139E-2</v>
          </cell>
          <cell r="D55">
            <v>3.3877160342709309E-2</v>
          </cell>
          <cell r="E55">
            <v>4.2992398153878994E-3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9.997276009901121E-2</v>
          </cell>
          <cell r="D63">
            <v>9.9969443633639521E-2</v>
          </cell>
          <cell r="E63">
            <v>9.997017813003288E-2</v>
          </cell>
        </row>
        <row r="64">
          <cell r="B64">
            <v>1.2706960992768201E-2</v>
          </cell>
          <cell r="C64">
            <v>1.271593329609862E-2</v>
          </cell>
          <cell r="D64">
            <v>1.2866627606723847E-2</v>
          </cell>
          <cell r="E64">
            <v>3.1949216350766994E-2</v>
          </cell>
        </row>
        <row r="65">
          <cell r="B65">
            <v>9.6401009126476107E-3</v>
          </cell>
          <cell r="C65">
            <v>9.6497167756319675E-3</v>
          </cell>
          <cell r="D65">
            <v>9.7586707475158276E-3</v>
          </cell>
          <cell r="E65">
            <v>1.7650283203251058E-2</v>
          </cell>
        </row>
        <row r="66">
          <cell r="B66">
            <v>1.0042638807873625E-2</v>
          </cell>
          <cell r="C66">
            <v>1.0056056809871984E-2</v>
          </cell>
          <cell r="D66">
            <v>7.1502404852610613E-2</v>
          </cell>
          <cell r="E66">
            <v>0.11485678790357512</v>
          </cell>
        </row>
        <row r="67">
          <cell r="B67">
            <v>2.118490047211433E-2</v>
          </cell>
          <cell r="C67">
            <v>2.1217381428038345E-2</v>
          </cell>
          <cell r="D67">
            <v>0.15329253630117884</v>
          </cell>
          <cell r="E67">
            <v>0.33449920570524139</v>
          </cell>
        </row>
        <row r="68">
          <cell r="B68">
            <v>1.9202524602450664E-2</v>
          </cell>
          <cell r="C68">
            <v>1.9226490388208617E-2</v>
          </cell>
          <cell r="D68">
            <v>3.6728619300343449E-2</v>
          </cell>
          <cell r="E68">
            <v>3.7537359726462008E-2</v>
          </cell>
        </row>
        <row r="69">
          <cell r="B69">
            <v>1.0448184434593983E-2</v>
          </cell>
          <cell r="C69">
            <v>1.0463179400263247E-2</v>
          </cell>
          <cell r="D69">
            <v>0.12549833836302349</v>
          </cell>
          <cell r="E69">
            <v>0.20984454133192129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6.7433343013801897E-2</v>
          </cell>
          <cell r="D15">
            <v>1.9269694653528339E-2</v>
          </cell>
          <cell r="E15">
            <v>0.19600321022085351</v>
          </cell>
        </row>
        <row r="16">
          <cell r="B16">
            <v>0</v>
          </cell>
          <cell r="C16">
            <v>9.77240805752062E-3</v>
          </cell>
          <cell r="D16">
            <v>3.699075894892441E-2</v>
          </cell>
          <cell r="E16">
            <v>1.9946923314106469E-3</v>
          </cell>
        </row>
        <row r="17">
          <cell r="B17">
            <v>0</v>
          </cell>
          <cell r="C17">
            <v>4.8712583636179498E-3</v>
          </cell>
          <cell r="D17">
            <v>2.59622543678957E-6</v>
          </cell>
          <cell r="E17">
            <v>2.5997829062343898E-6</v>
          </cell>
        </row>
        <row r="18">
          <cell r="B18">
            <v>0</v>
          </cell>
          <cell r="C18">
            <v>6.8119039490294295E-4</v>
          </cell>
          <cell r="D18">
            <v>1.5747048355054499E-2</v>
          </cell>
          <cell r="E18">
            <v>1.671709355842E-2</v>
          </cell>
        </row>
        <row r="19">
          <cell r="B19">
            <v>0</v>
          </cell>
          <cell r="C19">
            <v>6.2944844115577101E-6</v>
          </cell>
          <cell r="D19">
            <v>3.3303223640693103E-2</v>
          </cell>
          <cell r="E19">
            <v>4.7093043683537297E-2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3.16525421390184E-6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6.7366484568596205E-4</v>
          </cell>
          <cell r="D25">
            <v>3.2804993034795098E-4</v>
          </cell>
          <cell r="E25">
            <v>2.33579354156465E-3</v>
          </cell>
        </row>
        <row r="26">
          <cell r="B26">
            <v>0</v>
          </cell>
          <cell r="C26">
            <v>7.2413854533022801E-6</v>
          </cell>
          <cell r="D26">
            <v>4.0133576567924799E-6</v>
          </cell>
          <cell r="E26">
            <v>2.9064328118965899E-3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4.3320247787038599E-4</v>
          </cell>
          <cell r="D28">
            <v>1.4826461404456501E-4</v>
          </cell>
          <cell r="E28">
            <v>1.24311930833582E-4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7.1347297093900097E-3</v>
          </cell>
          <cell r="D33">
            <v>0.29201248831448601</v>
          </cell>
          <cell r="E33">
            <v>0.28589390713535401</v>
          </cell>
        </row>
        <row r="34">
          <cell r="B34">
            <v>0</v>
          </cell>
          <cell r="C34">
            <v>0</v>
          </cell>
          <cell r="D34">
            <v>4.490579305494672E-2</v>
          </cell>
          <cell r="E34">
            <v>0.22034307666447547</v>
          </cell>
        </row>
        <row r="35">
          <cell r="B35">
            <v>0</v>
          </cell>
          <cell r="C35">
            <v>2.0099865908369601E-6</v>
          </cell>
          <cell r="D35">
            <v>1.76790967767338</v>
          </cell>
          <cell r="E35">
            <v>2.1224874166294101</v>
          </cell>
        </row>
        <row r="36">
          <cell r="B36">
            <v>0</v>
          </cell>
          <cell r="C36">
            <v>2.7873040867991032E-4</v>
          </cell>
          <cell r="D36">
            <v>0.19804164539180591</v>
          </cell>
          <cell r="E36">
            <v>1.7743120522978684</v>
          </cell>
        </row>
        <row r="37">
          <cell r="B37">
            <v>0</v>
          </cell>
          <cell r="C37">
            <v>3.2902293382866467E-4</v>
          </cell>
          <cell r="D37">
            <v>0.43222928735288446</v>
          </cell>
          <cell r="E37">
            <v>7.9402545648480701E-3</v>
          </cell>
        </row>
        <row r="38">
          <cell r="B38">
            <v>0</v>
          </cell>
          <cell r="C38">
            <v>1.8671488626671899E-6</v>
          </cell>
          <cell r="D38">
            <v>2.0046051226343602</v>
          </cell>
          <cell r="E38">
            <v>2.0654664889237901</v>
          </cell>
        </row>
        <row r="39">
          <cell r="B39">
            <v>0</v>
          </cell>
          <cell r="C39">
            <v>1.3583102283850299E-5</v>
          </cell>
          <cell r="D39">
            <v>1.73569168056178E-3</v>
          </cell>
          <cell r="E39">
            <v>3.48541316175593E-3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2.3246857721985099E-2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1.3360940420271099E-2</v>
          </cell>
          <cell r="D42">
            <v>3.12815534922702E-2</v>
          </cell>
          <cell r="E42">
            <v>4.7887059106327602E-2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6.5538495284263599E-6</v>
          </cell>
          <cell r="D44">
            <v>2.8977592202434901E-6</v>
          </cell>
          <cell r="E44">
            <v>1.1165389637362701E-5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9.64415610812778E-4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0</v>
          </cell>
          <cell r="C51">
            <v>1.4748962007393746E-3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0</v>
          </cell>
          <cell r="C54">
            <v>2.6269355026159E-2</v>
          </cell>
          <cell r="D54">
            <v>6.6458896458788802E-3</v>
          </cell>
          <cell r="E54">
            <v>1.2345629759013E-2</v>
          </cell>
        </row>
        <row r="55">
          <cell r="B55">
            <v>0</v>
          </cell>
          <cell r="C55">
            <v>2.7374575293055599E-2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9.8710089689859603E-6</v>
          </cell>
          <cell r="D63">
            <v>1.01942253928081E-5</v>
          </cell>
          <cell r="E63">
            <v>9.7242591239973706E-6</v>
          </cell>
        </row>
        <row r="64">
          <cell r="B64">
            <v>1.2706960992768201E-2</v>
          </cell>
          <cell r="C64">
            <v>2.2776678607035101E-5</v>
          </cell>
          <cell r="D64">
            <v>1.65505083251737E-4</v>
          </cell>
          <cell r="E64">
            <v>2.24933384207151E-2</v>
          </cell>
        </row>
        <row r="65">
          <cell r="B65">
            <v>9.6401009126476107E-3</v>
          </cell>
          <cell r="C65">
            <v>1.6638496562853701E-5</v>
          </cell>
          <cell r="D65">
            <v>1.19894829257338E-4</v>
          </cell>
          <cell r="E65">
            <v>1.0479613311352101E-2</v>
          </cell>
        </row>
        <row r="66">
          <cell r="B66">
            <v>1.00410939041946E-2</v>
          </cell>
          <cell r="C66">
            <v>1.8785329182832801E-5</v>
          </cell>
          <cell r="D66">
            <v>6.1457699811451397E-2</v>
          </cell>
          <cell r="E66">
            <v>4.6053601755835998E-2</v>
          </cell>
        </row>
        <row r="67">
          <cell r="B67">
            <v>2.1180689472327201E-2</v>
          </cell>
          <cell r="C67">
            <v>4.32396374258433E-5</v>
          </cell>
          <cell r="D67">
            <v>0.1320948586757755</v>
          </cell>
          <cell r="E67">
            <v>0.18690264250508282</v>
          </cell>
        </row>
        <row r="68">
          <cell r="B68">
            <v>1.9198317434659079E-2</v>
          </cell>
          <cell r="C68">
            <v>3.4923649636720602E-5</v>
          </cell>
          <cell r="D68">
            <v>1.7526191616338321E-2</v>
          </cell>
          <cell r="E68">
            <v>5.9699228842563096E-3</v>
          </cell>
        </row>
        <row r="69">
          <cell r="B69">
            <v>1.0446407934496501E-2</v>
          </cell>
          <cell r="C69">
            <v>2.03944171320226E-5</v>
          </cell>
          <cell r="D69">
            <v>0.115044101282492</v>
          </cell>
          <cell r="E69">
            <v>8.7155393664396799E-2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0.13920514596278311</v>
          </cell>
          <cell r="C5">
            <v>1.2028627611103246</v>
          </cell>
          <cell r="D5">
            <v>1.2012468494261463</v>
          </cell>
          <cell r="E5">
            <v>2.0055232869130191E-2</v>
          </cell>
        </row>
        <row r="12">
          <cell r="B12">
            <v>1.4976588400328694</v>
          </cell>
          <cell r="C12">
            <v>0.33732625099450675</v>
          </cell>
          <cell r="D12">
            <v>1.5378252262442138</v>
          </cell>
          <cell r="E12">
            <v>1.985991608904857</v>
          </cell>
        </row>
        <row r="19">
          <cell r="B19">
            <v>1.3280740866753387</v>
          </cell>
          <cell r="C19">
            <v>4.3847409383883615</v>
          </cell>
          <cell r="D19">
            <v>4.3847627332042052</v>
          </cell>
          <cell r="E19">
            <v>4.3847661262857534</v>
          </cell>
        </row>
        <row r="20">
          <cell r="B20">
            <v>5.6294618300527715</v>
          </cell>
          <cell r="C20">
            <v>6.3922909624357347</v>
          </cell>
          <cell r="D20">
            <v>5.9210631640321649</v>
          </cell>
          <cell r="E20">
            <v>6.9211513247449021</v>
          </cell>
        </row>
        <row r="21">
          <cell r="B21">
            <v>0</v>
          </cell>
          <cell r="C21">
            <v>4.5821181196408333E-3</v>
          </cell>
          <cell r="D21">
            <v>2.0712679602506927E-3</v>
          </cell>
          <cell r="E21">
            <v>6.7654722153275993E-3</v>
          </cell>
        </row>
        <row r="28">
          <cell r="B28">
            <v>5.0244558197298922E-3</v>
          </cell>
          <cell r="C28">
            <v>2.0506674049789439E-2</v>
          </cell>
          <cell r="D28">
            <v>2.1291578446892351E-2</v>
          </cell>
          <cell r="E28">
            <v>9.0407771843223725E-2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8.9002583468709602E-3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1.2891444077490366</v>
          </cell>
          <cell r="C38">
            <v>4.4599719775547415</v>
          </cell>
          <cell r="D38">
            <v>4.4599623871722374</v>
          </cell>
          <cell r="E38">
            <v>4.4608105388400263</v>
          </cell>
        </row>
        <row r="39">
          <cell r="B39">
            <v>1.176538351110521</v>
          </cell>
          <cell r="C39">
            <v>4.0703958725878522</v>
          </cell>
          <cell r="D39">
            <v>4.0703871199199924</v>
          </cell>
          <cell r="E39">
            <v>4.0711611860050017</v>
          </cell>
        </row>
      </sheetData>
      <sheetData sheetId="68">
        <row r="3">
          <cell r="B3">
            <v>48.063397652170998</v>
          </cell>
          <cell r="C3">
            <v>49.195533672950376</v>
          </cell>
          <cell r="D3">
            <v>51.968512321024363</v>
          </cell>
          <cell r="E3">
            <v>53.257031650831884</v>
          </cell>
        </row>
        <row r="6">
          <cell r="B6">
            <v>0</v>
          </cell>
          <cell r="C6">
            <v>2.084147841936673</v>
          </cell>
          <cell r="D6">
            <v>2.0840960164003799</v>
          </cell>
          <cell r="E6">
            <v>2.1606887510302721</v>
          </cell>
        </row>
        <row r="11">
          <cell r="B11">
            <v>60.070598110756912</v>
          </cell>
          <cell r="C11">
            <v>61.543511991580971</v>
          </cell>
          <cell r="D11">
            <v>64.989528642358223</v>
          </cell>
          <cell r="E11">
            <v>70.551150173109392</v>
          </cell>
        </row>
        <row r="18">
          <cell r="B18">
            <v>3.5601573608479287</v>
          </cell>
          <cell r="C18">
            <v>3.4647541095190793</v>
          </cell>
          <cell r="D18">
            <v>0.12899021100237884</v>
          </cell>
          <cell r="E18">
            <v>4.382933590500058E-3</v>
          </cell>
        </row>
        <row r="19">
          <cell r="B19">
            <v>12.729060467056971</v>
          </cell>
          <cell r="C19">
            <v>13.638637605412946</v>
          </cell>
          <cell r="D19">
            <v>13.954675063299224</v>
          </cell>
          <cell r="E19">
            <v>14.452189675714195</v>
          </cell>
        </row>
        <row r="21">
          <cell r="B21">
            <v>7.7981381713718525</v>
          </cell>
          <cell r="C21">
            <v>8.0809293328523033</v>
          </cell>
          <cell r="D21">
            <v>10.837298799724925</v>
          </cell>
          <cell r="E21">
            <v>11.462586022714868</v>
          </cell>
        </row>
        <row r="22">
          <cell r="B22">
            <v>6.8107582252723106E-2</v>
          </cell>
          <cell r="C22">
            <v>8.5601774398449418E-2</v>
          </cell>
          <cell r="D22">
            <v>0.10204303950376965</v>
          </cell>
          <cell r="E22">
            <v>2.3313497198267528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0.74902658226029528</v>
          </cell>
          <cell r="C24">
            <v>0.94984297592340505</v>
          </cell>
          <cell r="D24">
            <v>1.7980430544477612</v>
          </cell>
          <cell r="E24">
            <v>4.2220673089439389</v>
          </cell>
        </row>
        <row r="33">
          <cell r="B33">
            <v>12.00720045858591</v>
          </cell>
          <cell r="C33">
            <v>12.710150421713685</v>
          </cell>
          <cell r="D33">
            <v>13.383179962830264</v>
          </cell>
          <cell r="E33">
            <v>17.672794798769623</v>
          </cell>
        </row>
        <row r="34">
          <cell r="B34">
            <v>8.8980668457453493</v>
          </cell>
          <cell r="C34">
            <v>8.1218811327210911</v>
          </cell>
          <cell r="D34">
            <v>8.2563635840967429</v>
          </cell>
          <cell r="E34">
            <v>6.4690434250351396</v>
          </cell>
        </row>
        <row r="35">
          <cell r="B35">
            <v>2.7301536321320046</v>
          </cell>
          <cell r="C35">
            <v>2.7181992097309959</v>
          </cell>
          <cell r="D35">
            <v>4.7469976974586547E-2</v>
          </cell>
          <cell r="E35">
            <v>4.5444010651676508E-3</v>
          </cell>
        </row>
        <row r="36">
          <cell r="B36">
            <v>0</v>
          </cell>
          <cell r="C36">
            <v>0</v>
          </cell>
          <cell r="D36">
            <v>9.5850474839326251E-4</v>
          </cell>
          <cell r="E36">
            <v>0.2156609589686147</v>
          </cell>
        </row>
        <row r="37">
          <cell r="B37">
            <v>35.25330344369997</v>
          </cell>
          <cell r="C37">
            <v>31.928365904344549</v>
          </cell>
          <cell r="D37">
            <v>32.590128059217399</v>
          </cell>
          <cell r="E37">
            <v>20.588419595815022</v>
          </cell>
        </row>
        <row r="38">
          <cell r="B38">
            <v>0.29917750452568143</v>
          </cell>
          <cell r="C38">
            <v>3.3487248932358611E-3</v>
          </cell>
          <cell r="D38">
            <v>2.2793491910112467</v>
          </cell>
          <cell r="E38">
            <v>2.3526540282113944</v>
          </cell>
        </row>
        <row r="39">
          <cell r="B39">
            <v>0.43687091603376721</v>
          </cell>
          <cell r="C39">
            <v>0.55213811081003705</v>
          </cell>
          <cell r="D39">
            <v>1.6042881164276321</v>
          </cell>
          <cell r="E39">
            <v>3.1475976994673842</v>
          </cell>
        </row>
        <row r="55">
          <cell r="B55">
            <v>9.8141619496138333</v>
          </cell>
          <cell r="C55">
            <v>10.335130020858854</v>
          </cell>
          <cell r="D55">
            <v>10.597154447882525</v>
          </cell>
          <cell r="E55">
            <v>13.317086969426741</v>
          </cell>
        </row>
        <row r="56">
          <cell r="B56">
            <v>1.1089658977082459</v>
          </cell>
          <cell r="C56">
            <v>1.4009596081921354</v>
          </cell>
          <cell r="D56">
            <v>2.5872197533277985</v>
          </cell>
          <cell r="E56">
            <v>6.1196187278782199</v>
          </cell>
        </row>
        <row r="57">
          <cell r="B57">
            <v>6.91791002273958</v>
          </cell>
          <cell r="C57">
            <v>6.3246703469299703</v>
          </cell>
          <cell r="D57">
            <v>6.4457194252637864</v>
          </cell>
          <cell r="E57">
            <v>5.2391430723309336</v>
          </cell>
        </row>
        <row r="58">
          <cell r="B58">
            <v>1.8459251245252504</v>
          </cell>
          <cell r="C58">
            <v>1.8457931733678312</v>
          </cell>
          <cell r="D58">
            <v>3.244276238856901E-2</v>
          </cell>
          <cell r="E58">
            <v>3.1390450357645489E-3</v>
          </cell>
        </row>
        <row r="59">
          <cell r="B59">
            <v>28.61986559200254</v>
          </cell>
          <cell r="C59">
            <v>25.727636490005015</v>
          </cell>
          <cell r="D59">
            <v>28.100348063994108</v>
          </cell>
          <cell r="E59">
            <v>18.537435265853812</v>
          </cell>
        </row>
        <row r="60">
          <cell r="B60">
            <v>0</v>
          </cell>
          <cell r="C60">
            <v>0</v>
          </cell>
          <cell r="D60">
            <v>7.2732520008101903E-2</v>
          </cell>
          <cell r="E60">
            <v>2.6222601149550204E-2</v>
          </cell>
        </row>
        <row r="61">
          <cell r="B61">
            <v>2.3675046449638706</v>
          </cell>
          <cell r="C61">
            <v>2.307526236939708</v>
          </cell>
          <cell r="D61">
            <v>8.6100965844087857E-2</v>
          </cell>
          <cell r="E61">
            <v>2.9365655056350394E-3</v>
          </cell>
        </row>
        <row r="62">
          <cell r="B62">
            <v>5.185249597601489</v>
          </cell>
          <cell r="C62">
            <v>5.5677090452185043</v>
          </cell>
          <cell r="D62">
            <v>5.8793007002002549</v>
          </cell>
          <cell r="E62">
            <v>6.375406323532256</v>
          </cell>
        </row>
        <row r="63">
          <cell r="B63">
            <v>6.5824646464109744</v>
          </cell>
          <cell r="C63">
            <v>7.0678935623555006</v>
          </cell>
          <cell r="D63">
            <v>7.0905443365677856</v>
          </cell>
          <cell r="E63">
            <v>7.1283840021187768</v>
          </cell>
        </row>
        <row r="64">
          <cell r="B64">
            <v>5.3112538801372393</v>
          </cell>
          <cell r="C64">
            <v>6.2669954666482779</v>
          </cell>
          <cell r="D64">
            <v>6.0030768912076287</v>
          </cell>
          <cell r="E64">
            <v>7.0120500285676695</v>
          </cell>
        </row>
        <row r="65">
          <cell r="B65">
            <v>0.46159904975162597</v>
          </cell>
          <cell r="C65">
            <v>0.5446111002284405</v>
          </cell>
          <cell r="D65">
            <v>0.57530150914458866</v>
          </cell>
          <cell r="E65">
            <v>0.59338116082553971</v>
          </cell>
        </row>
        <row r="66">
          <cell r="B66">
            <v>4.1174169544843391</v>
          </cell>
          <cell r="C66">
            <v>4.2667306877460165</v>
          </cell>
          <cell r="D66">
            <v>5.7220937662547611</v>
          </cell>
          <cell r="E66">
            <v>6.0522454199934543</v>
          </cell>
        </row>
        <row r="67">
          <cell r="B67">
            <v>6.8107582252723106E-2</v>
          </cell>
          <cell r="C67">
            <v>8.5601774398449418E-2</v>
          </cell>
          <cell r="D67">
            <v>0.10204303950376965</v>
          </cell>
          <cell r="E67">
            <v>2.3313497198267528</v>
          </cell>
        </row>
        <row r="68">
          <cell r="B68">
            <v>0.31061522130000835</v>
          </cell>
          <cell r="C68">
            <v>0.39257019678593641</v>
          </cell>
          <cell r="D68">
            <v>1.1406488507800474</v>
          </cell>
          <cell r="E68">
            <v>2.2379419643213079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1.7219299153213108</v>
          </cell>
          <cell r="D70">
            <v>1.7218870968899473</v>
          </cell>
          <cell r="E70">
            <v>1.7823025050266428</v>
          </cell>
        </row>
        <row r="71">
          <cell r="B71">
            <v>72.711040163491731</v>
          </cell>
          <cell r="C71">
            <v>73.85575762499596</v>
          </cell>
          <cell r="D71">
            <v>76.156614129257775</v>
          </cell>
          <cell r="E71">
            <v>76.758643371393063</v>
          </cell>
        </row>
      </sheetData>
      <sheetData sheetId="69">
        <row r="3">
          <cell r="B3">
            <v>56.994774574912441</v>
          </cell>
          <cell r="C3">
            <v>58.701922753786299</v>
          </cell>
          <cell r="D3">
            <v>58.471789067168487</v>
          </cell>
          <cell r="E3">
            <v>55.20037694239582</v>
          </cell>
        </row>
        <row r="6">
          <cell r="B6">
            <v>0</v>
          </cell>
          <cell r="C6">
            <v>9.1196048512748433</v>
          </cell>
          <cell r="D6">
            <v>2.3236179549947895</v>
          </cell>
          <cell r="E6">
            <v>4.6907855027135685</v>
          </cell>
        </row>
        <row r="11">
          <cell r="B11">
            <v>60.950448759542525</v>
          </cell>
          <cell r="C11">
            <v>60.772458648175679</v>
          </cell>
          <cell r="D11">
            <v>61.257814825617999</v>
          </cell>
          <cell r="E11">
            <v>58.408792766706213</v>
          </cell>
        </row>
        <row r="12">
          <cell r="B12">
            <v>30.256679168903222</v>
          </cell>
          <cell r="C12">
            <v>25.799210065042509</v>
          </cell>
          <cell r="D12">
            <v>26.113314941272144</v>
          </cell>
          <cell r="E12">
            <v>15.481939363223526</v>
          </cell>
        </row>
        <row r="13">
          <cell r="B13">
            <v>0</v>
          </cell>
          <cell r="C13">
            <v>0</v>
          </cell>
          <cell r="D13">
            <v>9.3725615617091672E-4</v>
          </cell>
          <cell r="E13">
            <v>7.3603991702199485E-3</v>
          </cell>
        </row>
        <row r="14">
          <cell r="B14">
            <v>25.270451645074157</v>
          </cell>
          <cell r="C14">
            <v>25.064134787876768</v>
          </cell>
          <cell r="D14">
            <v>23.281682762432812</v>
          </cell>
          <cell r="E14">
            <v>19.366832890143371</v>
          </cell>
        </row>
        <row r="15">
          <cell r="B15">
            <v>0.27832276030007902</v>
          </cell>
          <cell r="C15">
            <v>1.6821242980812217</v>
          </cell>
          <cell r="D15">
            <v>0.68853005535634126</v>
          </cell>
          <cell r="E15">
            <v>0.71781877012478923</v>
          </cell>
        </row>
        <row r="16">
          <cell r="B16">
            <v>1.402382058800276</v>
          </cell>
          <cell r="C16">
            <v>1.5373125554946594</v>
          </cell>
          <cell r="D16">
            <v>0</v>
          </cell>
          <cell r="E16">
            <v>0</v>
          </cell>
        </row>
        <row r="17">
          <cell r="B17">
            <v>7.7270878126393789</v>
          </cell>
          <cell r="C17">
            <v>8.3699013825085071</v>
          </cell>
          <cell r="D17">
            <v>5.9482898181497221</v>
          </cell>
          <cell r="E17">
            <v>7.6471325057742057</v>
          </cell>
        </row>
        <row r="19">
          <cell r="B19">
            <v>0.62710016377056388</v>
          </cell>
          <cell r="C19">
            <v>0.68752506511414369</v>
          </cell>
          <cell r="D19">
            <v>0.55479707708111603</v>
          </cell>
          <cell r="E19">
            <v>0.60815181420141473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3.5412022876040387E-2</v>
          </cell>
        </row>
        <row r="21">
          <cell r="B21">
            <v>2.9299367761031867</v>
          </cell>
          <cell r="C21">
            <v>3.1925912129975891</v>
          </cell>
          <cell r="D21">
            <v>4.1953496469739653</v>
          </cell>
          <cell r="E21">
            <v>8.9002948089577618</v>
          </cell>
        </row>
        <row r="28">
          <cell r="B28">
            <v>3.955674184630082</v>
          </cell>
          <cell r="C28">
            <v>2.0705358943893781</v>
          </cell>
          <cell r="D28">
            <v>2.7860257584495063</v>
          </cell>
          <cell r="E28">
            <v>3.208415824310404</v>
          </cell>
        </row>
        <row r="47">
          <cell r="B47">
            <v>4.2617262197864543</v>
          </cell>
          <cell r="C47">
            <v>4.6178551473715137</v>
          </cell>
          <cell r="D47">
            <v>4.7411865930509869</v>
          </cell>
          <cell r="E47">
            <v>8.1724895490911926</v>
          </cell>
        </row>
        <row r="48">
          <cell r="B48">
            <v>24.84310667054552</v>
          </cell>
          <cell r="C48">
            <v>21.225121811907183</v>
          </cell>
          <cell r="D48">
            <v>20.675718559819455</v>
          </cell>
          <cell r="E48">
            <v>12.681970222599137</v>
          </cell>
        </row>
        <row r="49">
          <cell r="B49">
            <v>24.189797043386285</v>
          </cell>
          <cell r="C49">
            <v>25.32358573032193</v>
          </cell>
          <cell r="D49">
            <v>19.399026731304602</v>
          </cell>
          <cell r="E49">
            <v>14.580020031693589</v>
          </cell>
        </row>
        <row r="50">
          <cell r="B50">
            <v>0</v>
          </cell>
          <cell r="C50">
            <v>0</v>
          </cell>
          <cell r="D50">
            <v>2.3718667742634878</v>
          </cell>
          <cell r="E50">
            <v>6.621999952675254</v>
          </cell>
        </row>
        <row r="51">
          <cell r="B51">
            <v>2.0958461194879741</v>
          </cell>
          <cell r="C51">
            <v>2.270220433417883</v>
          </cell>
          <cell r="D51">
            <v>0</v>
          </cell>
          <cell r="E51">
            <v>0</v>
          </cell>
        </row>
        <row r="52">
          <cell r="B52">
            <v>5.553970815025008</v>
          </cell>
          <cell r="C52">
            <v>6.0159819352655468</v>
          </cell>
          <cell r="D52">
            <v>4.8845488682816356</v>
          </cell>
          <cell r="E52">
            <v>6.306409427354704</v>
          </cell>
        </row>
        <row r="53">
          <cell r="B53">
            <v>6.1736155374772199</v>
          </cell>
          <cell r="C53">
            <v>5.2279712568500267</v>
          </cell>
          <cell r="D53">
            <v>6.7954740716128024</v>
          </cell>
          <cell r="E53">
            <v>6.5084223188485115</v>
          </cell>
        </row>
        <row r="54">
          <cell r="B54">
            <v>1.8771506481142195</v>
          </cell>
          <cell r="C54">
            <v>2.1601257705803349</v>
          </cell>
          <cell r="D54">
            <v>0.36389940041924101</v>
          </cell>
          <cell r="E54">
            <v>0.47075826318942304</v>
          </cell>
        </row>
        <row r="55">
          <cell r="B55">
            <v>0.62710016377056388</v>
          </cell>
          <cell r="C55">
            <v>0.68752506511414369</v>
          </cell>
          <cell r="D55">
            <v>0.55479707708111603</v>
          </cell>
          <cell r="E55">
            <v>0.60815181420141473</v>
          </cell>
        </row>
        <row r="56">
          <cell r="B56">
            <v>1.2231576316855999</v>
          </cell>
          <cell r="C56">
            <v>1.3408440109024429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9.1196048512748433</v>
          </cell>
          <cell r="D58">
            <v>2.3236179549947895</v>
          </cell>
          <cell r="E58">
            <v>4.6907855027135685</v>
          </cell>
        </row>
        <row r="59">
          <cell r="B59">
            <v>73.239765675392817</v>
          </cell>
          <cell r="C59">
            <v>78.579259856419995</v>
          </cell>
          <cell r="D59">
            <v>62.63212379098114</v>
          </cell>
          <cell r="E59">
            <v>60.945023171262029</v>
          </cell>
        </row>
      </sheetData>
      <sheetData sheetId="70">
        <row r="3">
          <cell r="B3">
            <v>44.576954446539794</v>
          </cell>
          <cell r="C3">
            <v>44.86121202262008</v>
          </cell>
          <cell r="D3">
            <v>49.523434351803729</v>
          </cell>
          <cell r="E3">
            <v>46.920120795952762</v>
          </cell>
        </row>
        <row r="10">
          <cell r="B10">
            <v>0.4364136051451632</v>
          </cell>
          <cell r="C10">
            <v>6.6797076655323089</v>
          </cell>
          <cell r="D10">
            <v>5.1815994781206678</v>
          </cell>
          <cell r="E10">
            <v>10.575557659759664</v>
          </cell>
        </row>
        <row r="15">
          <cell r="B15">
            <v>69.47152815723193</v>
          </cell>
          <cell r="C15">
            <v>70.027173866662793</v>
          </cell>
          <cell r="D15">
            <v>69.810715902254827</v>
          </cell>
          <cell r="E15">
            <v>67.72791955081351</v>
          </cell>
        </row>
        <row r="16">
          <cell r="B16">
            <v>60.232445624915954</v>
          </cell>
          <cell r="C16">
            <v>51.320629800815716</v>
          </cell>
          <cell r="D16">
            <v>49.44595041940957</v>
          </cell>
          <cell r="E16">
            <v>24.330288031316716</v>
          </cell>
        </row>
        <row r="17">
          <cell r="B17">
            <v>0</v>
          </cell>
          <cell r="C17">
            <v>0</v>
          </cell>
          <cell r="D17">
            <v>9.3841672870306422E-4</v>
          </cell>
          <cell r="E17">
            <v>7.4030378697324548E-3</v>
          </cell>
        </row>
        <row r="18">
          <cell r="B18">
            <v>46.704322034994128</v>
          </cell>
          <cell r="C18">
            <v>45.938221712672899</v>
          </cell>
          <cell r="D18">
            <v>46.20998776189316</v>
          </cell>
          <cell r="E18">
            <v>38.100277450168925</v>
          </cell>
        </row>
        <row r="19">
          <cell r="B19">
            <v>0.29810464153124322</v>
          </cell>
          <cell r="C19">
            <v>2.2366795721130726</v>
          </cell>
          <cell r="D19">
            <v>0.86316503852493776</v>
          </cell>
          <cell r="E19">
            <v>0.95940903505680564</v>
          </cell>
        </row>
        <row r="20">
          <cell r="B20">
            <v>0.10003085333320115</v>
          </cell>
          <cell r="C20">
            <v>0.10001193872413756</v>
          </cell>
          <cell r="D20">
            <v>2.6970780686892657E-2</v>
          </cell>
          <cell r="E20">
            <v>2.3790407355146724E-4</v>
          </cell>
        </row>
        <row r="21">
          <cell r="B21">
            <v>8.1291150788064428</v>
          </cell>
          <cell r="C21">
            <v>9.7142870061617934</v>
          </cell>
          <cell r="D21">
            <v>8.3981523541129501</v>
          </cell>
          <cell r="E21">
            <v>11.104482969678028</v>
          </cell>
        </row>
        <row r="22">
          <cell r="B22">
            <v>16.992038199477904</v>
          </cell>
          <cell r="C22">
            <v>19.036801938374481</v>
          </cell>
          <cell r="D22">
            <v>17.555449899120035</v>
          </cell>
          <cell r="E22">
            <v>15.766141199350953</v>
          </cell>
        </row>
        <row r="23">
          <cell r="B23">
            <v>2.5069286589027415</v>
          </cell>
          <cell r="C23">
            <v>2.9289323022695024</v>
          </cell>
          <cell r="D23">
            <v>0.96444923400382954</v>
          </cell>
          <cell r="E23">
            <v>1.0950024147449815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4.2148526458665542E-2</v>
          </cell>
        </row>
        <row r="25">
          <cell r="B25">
            <v>15.195876644410834</v>
          </cell>
          <cell r="C25">
            <v>17.649511819360285</v>
          </cell>
          <cell r="D25">
            <v>26.405381726215662</v>
          </cell>
          <cell r="E25">
            <v>41.295065469658269</v>
          </cell>
        </row>
        <row r="26">
          <cell r="B26">
            <v>219.63038989360444</v>
          </cell>
          <cell r="C26">
            <v>218.95224995715466</v>
          </cell>
          <cell r="D26">
            <v>219.68116153295054</v>
          </cell>
          <cell r="E26">
            <v>200.42837558919013</v>
          </cell>
        </row>
        <row r="102">
          <cell r="B102">
            <v>8.9085674897203564</v>
          </cell>
          <cell r="C102">
            <v>7.8759061819298264</v>
          </cell>
          <cell r="D102">
            <v>0.82943084241698029</v>
          </cell>
          <cell r="E102">
            <v>0.21068725652402101</v>
          </cell>
        </row>
        <row r="104">
          <cell r="B104">
            <v>19.061212942335672</v>
          </cell>
          <cell r="C104">
            <v>22.090516163321695</v>
          </cell>
          <cell r="D104">
            <v>31.885182920070701</v>
          </cell>
          <cell r="E104">
            <v>41.798179508858659</v>
          </cell>
        </row>
        <row r="105">
          <cell r="B105">
            <v>45.124732449375429</v>
          </cell>
          <cell r="C105">
            <v>38.635311529864616</v>
          </cell>
          <cell r="D105">
            <v>34.597407280433458</v>
          </cell>
          <cell r="E105">
            <v>17.724732600971546</v>
          </cell>
        </row>
        <row r="106">
          <cell r="B106">
            <v>36.570240194623402</v>
          </cell>
          <cell r="C106">
            <v>39.169535469418108</v>
          </cell>
          <cell r="D106">
            <v>31.695714547827524</v>
          </cell>
          <cell r="E106">
            <v>22.816436145620465</v>
          </cell>
        </row>
        <row r="107">
          <cell r="B107">
            <v>0</v>
          </cell>
          <cell r="C107">
            <v>0</v>
          </cell>
          <cell r="D107">
            <v>5.1526365449174509</v>
          </cell>
          <cell r="E107">
            <v>13.691182211951618</v>
          </cell>
        </row>
        <row r="108">
          <cell r="B108">
            <v>7.2022214399904735E-2</v>
          </cell>
          <cell r="C108">
            <v>7.2008595881379006E-2</v>
          </cell>
          <cell r="D108">
            <v>2.1557763122038238E-2</v>
          </cell>
          <cell r="E108">
            <v>1.9032325884117376E-4</v>
          </cell>
        </row>
        <row r="109">
          <cell r="B109">
            <v>9.0200977587860984E-2</v>
          </cell>
          <cell r="C109">
            <v>4.6584744819928164E-2</v>
          </cell>
          <cell r="D109">
            <v>0</v>
          </cell>
          <cell r="E109">
            <v>0</v>
          </cell>
        </row>
        <row r="110">
          <cell r="B110">
            <v>6.2637949234016475</v>
          </cell>
          <cell r="C110">
            <v>7.6939003306302602</v>
          </cell>
          <cell r="D110">
            <v>5.9165475947607744</v>
          </cell>
          <cell r="E110">
            <v>7.5774800703476881</v>
          </cell>
        </row>
        <row r="111">
          <cell r="B111">
            <v>9.1312798097288201</v>
          </cell>
          <cell r="C111">
            <v>10.087236125273765</v>
          </cell>
          <cell r="D111">
            <v>10.23846304949334</v>
          </cell>
          <cell r="E111">
            <v>9.0203082549108444</v>
          </cell>
        </row>
        <row r="112">
          <cell r="B112">
            <v>2.6970513256776814</v>
          </cell>
          <cell r="C112">
            <v>3.1683493070209496</v>
          </cell>
          <cell r="D112">
            <v>0.32585701234233616</v>
          </cell>
          <cell r="E112">
            <v>0.39995686502393585</v>
          </cell>
        </row>
        <row r="113">
          <cell r="B113">
            <v>0.78544063424289079</v>
          </cell>
          <cell r="C113">
            <v>0.94185363396680555</v>
          </cell>
          <cell r="D113">
            <v>3.1977953162283961E-2</v>
          </cell>
          <cell r="E113">
            <v>3.4980842181890168E-2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129.14095656623883</v>
          </cell>
          <cell r="C116">
            <v>136.46090974765966</v>
          </cell>
          <cell r="D116">
            <v>125.87637498666756</v>
          </cell>
          <cell r="E116">
            <v>123.84969173940918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26.979980311465653</v>
          </cell>
          <cell r="C224">
            <v>25.937099835886766</v>
          </cell>
          <cell r="D224">
            <v>21.670516389651187</v>
          </cell>
          <cell r="E224">
            <v>22.093541016334871</v>
          </cell>
        </row>
        <row r="231">
          <cell r="B231">
            <v>15.553607660927103</v>
          </cell>
          <cell r="C231">
            <v>14.84466360948994</v>
          </cell>
          <cell r="D231">
            <v>3.6516543679875149</v>
          </cell>
          <cell r="E231">
            <v>2.2199978139951031</v>
          </cell>
        </row>
        <row r="233">
          <cell r="B233">
            <v>22.301567637547354</v>
          </cell>
          <cell r="C233">
            <v>25.72610995756764</v>
          </cell>
          <cell r="D233">
            <v>36.794075774576669</v>
          </cell>
          <cell r="E233">
            <v>49.257896734017287</v>
          </cell>
        </row>
        <row r="234">
          <cell r="B234">
            <v>52.109360427208046</v>
          </cell>
          <cell r="C234">
            <v>44.489778579503209</v>
          </cell>
          <cell r="D234">
            <v>39.081105205955573</v>
          </cell>
          <cell r="E234">
            <v>19.847898855426301</v>
          </cell>
        </row>
        <row r="235">
          <cell r="B235">
            <v>42.950817943104227</v>
          </cell>
          <cell r="C235">
            <v>44.405169202419124</v>
          </cell>
          <cell r="D235">
            <v>36.905605700022825</v>
          </cell>
          <cell r="E235">
            <v>26.257424429486932</v>
          </cell>
        </row>
        <row r="236">
          <cell r="B236">
            <v>0</v>
          </cell>
          <cell r="C236">
            <v>0</v>
          </cell>
          <cell r="D236">
            <v>6.2452722581479039</v>
          </cell>
          <cell r="E236">
            <v>16.9610461676948</v>
          </cell>
        </row>
        <row r="238">
          <cell r="B238">
            <v>0.1089030252440191</v>
          </cell>
          <cell r="C238">
            <v>5.5392049669652083E-2</v>
          </cell>
          <cell r="D238">
            <v>0</v>
          </cell>
          <cell r="E238">
            <v>0</v>
          </cell>
        </row>
        <row r="239">
          <cell r="B239">
            <v>7.5625146745457199</v>
          </cell>
          <cell r="C239">
            <v>9.148507970044971</v>
          </cell>
          <cell r="D239">
            <v>6.8747707520603534</v>
          </cell>
          <cell r="E239">
            <v>9.0460329873571368</v>
          </cell>
        </row>
        <row r="240">
          <cell r="B240">
            <v>9.6518538166657404</v>
          </cell>
          <cell r="C240">
            <v>10.684528363455302</v>
          </cell>
          <cell r="D240">
            <v>11.425725549501962</v>
          </cell>
          <cell r="E240">
            <v>10.179768208125033</v>
          </cell>
        </row>
        <row r="241">
          <cell r="B241">
            <v>2.8669472140144561</v>
          </cell>
          <cell r="C241">
            <v>3.3632112877133826</v>
          </cell>
          <cell r="D241">
            <v>0.40107529281940923</v>
          </cell>
          <cell r="E241">
            <v>0.50241716187796237</v>
          </cell>
        </row>
        <row r="242">
          <cell r="B242">
            <v>2.5069286589027415</v>
          </cell>
          <cell r="C242">
            <v>2.9289323022695024</v>
          </cell>
          <cell r="D242">
            <v>0.96444923400382954</v>
          </cell>
          <cell r="E242">
            <v>1.0950024147449815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0.4364136051451632</v>
          </cell>
          <cell r="C244">
            <v>6.6797076655323089</v>
          </cell>
          <cell r="D244">
            <v>5.1815994781206678</v>
          </cell>
          <cell r="E244">
            <v>10.575557659759664</v>
          </cell>
        </row>
        <row r="245">
          <cell r="B245">
            <v>156.12093687770451</v>
          </cell>
          <cell r="C245">
            <v>162.39800958354641</v>
          </cell>
          <cell r="D245">
            <v>147.54689137631874</v>
          </cell>
          <cell r="E245">
            <v>145.94323275574402</v>
          </cell>
        </row>
      </sheetData>
      <sheetData sheetId="71">
        <row r="21">
          <cell r="B21">
            <v>76.266534237297392</v>
          </cell>
          <cell r="C21">
            <v>74.537908842503711</v>
          </cell>
          <cell r="D21">
            <v>69.886763387355757</v>
          </cell>
          <cell r="E21">
            <v>40.479102103545735</v>
          </cell>
        </row>
        <row r="22">
          <cell r="B22">
            <v>120.10287752597347</v>
          </cell>
          <cell r="C22">
            <v>111.02970825596023</v>
          </cell>
          <cell r="D22">
            <v>94.079108247906248</v>
          </cell>
          <cell r="E22">
            <v>55.972025252828871</v>
          </cell>
        </row>
        <row r="23">
          <cell r="B23">
            <v>1.0930498859692612</v>
          </cell>
          <cell r="C23">
            <v>1.3833975723408114</v>
          </cell>
          <cell r="D23">
            <v>1.8013970296034241</v>
          </cell>
          <cell r="E23">
            <v>2.4097922752479088</v>
          </cell>
        </row>
        <row r="24">
          <cell r="B24">
            <v>0.270885092331351</v>
          </cell>
          <cell r="C24">
            <v>0.19194701310256884</v>
          </cell>
          <cell r="D24">
            <v>0.2629467393317852</v>
          </cell>
          <cell r="E24">
            <v>6.0296739582874938E-2</v>
          </cell>
        </row>
        <row r="25">
          <cell r="B25">
            <v>4.4166450089733109</v>
          </cell>
          <cell r="C25">
            <v>4.3173317604893189</v>
          </cell>
          <cell r="D25">
            <v>4.0481845897318376</v>
          </cell>
          <cell r="E25">
            <v>3.8830770826741863</v>
          </cell>
        </row>
        <row r="26">
          <cell r="B26">
            <v>2.9709603938165858</v>
          </cell>
          <cell r="C26">
            <v>2.9721740015845719</v>
          </cell>
          <cell r="D26">
            <v>4.4006224837199213</v>
          </cell>
          <cell r="E26">
            <v>2.9658931852739499</v>
          </cell>
        </row>
        <row r="27">
          <cell r="B27">
            <v>2.371466311112809E-2</v>
          </cell>
          <cell r="C27">
            <v>2.0742710294223751E-2</v>
          </cell>
          <cell r="D27">
            <v>2.7133667197563261E-2</v>
          </cell>
          <cell r="E27">
            <v>1.2115891048111295E-2</v>
          </cell>
        </row>
        <row r="28">
          <cell r="B28">
            <v>3.18368798889021E-5</v>
          </cell>
          <cell r="C28">
            <v>1.16612611637865E-3</v>
          </cell>
          <cell r="D28">
            <v>2.0389632265815898E-2</v>
          </cell>
          <cell r="E28">
            <v>0.14069932564142101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0.33398412994859022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80.684766342315768</v>
          </cell>
          <cell r="E11">
            <v>78.507305104824454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5.0111043833762494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2.6390782885561186</v>
          </cell>
          <cell r="C53">
            <v>2.3501419505059524</v>
          </cell>
          <cell r="D53">
            <v>2.3519227038231567</v>
          </cell>
          <cell r="E53">
            <v>2.3549342218346063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6.5106771036570681</v>
          </cell>
          <cell r="C55">
            <v>6.2606756884573871</v>
          </cell>
          <cell r="D55">
            <v>5.7153641632444092</v>
          </cell>
          <cell r="E55">
            <v>4.881655352714974</v>
          </cell>
        </row>
        <row r="56">
          <cell r="B56">
            <v>3.8057509330913097</v>
          </cell>
          <cell r="C56">
            <v>3.4442045735770996</v>
          </cell>
          <cell r="D56">
            <v>3.3593344913381098</v>
          </cell>
          <cell r="E56">
            <v>2.2581440813512401</v>
          </cell>
        </row>
        <row r="57">
          <cell r="B57">
            <v>7.2100943208689579</v>
          </cell>
          <cell r="C57">
            <v>6.4609055842147072</v>
          </cell>
          <cell r="D57">
            <v>6.3445985769164741</v>
          </cell>
          <cell r="E57">
            <v>3.981587075854168</v>
          </cell>
        </row>
        <row r="58">
          <cell r="B58">
            <v>14.625639279251208</v>
          </cell>
          <cell r="C58">
            <v>13.909256618885863</v>
          </cell>
          <cell r="D58">
            <v>12.377384340809217</v>
          </cell>
          <cell r="E58">
            <v>7.3773817950898968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17.776396661937351</v>
          </cell>
          <cell r="G99">
            <v>17.660545177461064</v>
          </cell>
          <cell r="H99">
            <v>17.010712491903483</v>
          </cell>
          <cell r="I99">
            <v>13.301195816739526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4.0915386875882203E-3</v>
          </cell>
          <cell r="J4">
            <v>0.35092033044908422</v>
          </cell>
          <cell r="K4">
            <v>4.2341103475147328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1.0998637426862727E-3</v>
          </cell>
          <cell r="J5">
            <v>1.960047844537622E-2</v>
          </cell>
          <cell r="K5">
            <v>0.60580953654555425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4.7833242146507349E-4</v>
          </cell>
          <cell r="J6">
            <v>5.0108021491535489E-2</v>
          </cell>
          <cell r="K6">
            <v>0.32459821094906577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4.8765604620040922E-4</v>
          </cell>
          <cell r="J7">
            <v>4.9390739883281867E-2</v>
          </cell>
          <cell r="K7">
            <v>0.31068765701434303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4.830838283029593E-4</v>
          </cell>
          <cell r="J8">
            <v>4.2255763540109549E-2</v>
          </cell>
          <cell r="K8">
            <v>0.2476536331356983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5.1105582305755088E-4</v>
          </cell>
          <cell r="J9">
            <v>6.992973380866252E-2</v>
          </cell>
          <cell r="K9">
            <v>1.2388538679019347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5.5245793105457059E-4</v>
          </cell>
          <cell r="J10">
            <v>6.998376522188425E-2</v>
          </cell>
          <cell r="K10">
            <v>1.1882838606370252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4.7908889482138297E-4</v>
          </cell>
          <cell r="J11">
            <v>4.9651828058234371E-2</v>
          </cell>
          <cell r="K11">
            <v>0.31822358133111284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0.50672657086513595</v>
          </cell>
          <cell r="J12">
            <v>1.8059834595652977</v>
          </cell>
          <cell r="K12">
            <v>2.7089801413826433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0.50672657086513595</v>
          </cell>
          <cell r="J13">
            <v>1.8059834595652977</v>
          </cell>
          <cell r="K13">
            <v>2.7089801413826433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3.5059420621019501E-2</v>
          </cell>
          <cell r="J14">
            <v>5.4289945902928398E-2</v>
          </cell>
          <cell r="K14">
            <v>0.169757266794439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5.1228043750891003E-2</v>
          </cell>
          <cell r="J15">
            <v>0.20868496716864901</v>
          </cell>
          <cell r="K15">
            <v>0.31392331609591601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0.81161864852850862</v>
          </cell>
          <cell r="J16">
            <v>0.87631543718274896</v>
          </cell>
          <cell r="K16">
            <v>0.77383089514551118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0.81161864852850862</v>
          </cell>
          <cell r="J17">
            <v>0.87631543718274896</v>
          </cell>
          <cell r="K17">
            <v>0.77383089514551118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0.6653199913717901</v>
          </cell>
          <cell r="J18">
            <v>0.14058013215422685</v>
          </cell>
          <cell r="K18">
            <v>0.42392591238683891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1.0828025594118897</v>
          </cell>
          <cell r="J19">
            <v>0.15922219594705103</v>
          </cell>
          <cell r="K19">
            <v>0.46854969263808599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104.30659526150799</v>
          </cell>
          <cell r="J20">
            <v>22.1429436774043</v>
          </cell>
          <cell r="K20">
            <v>89.779575923353306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1.8494077174026249</v>
          </cell>
          <cell r="J21">
            <v>0.39260538435114051</v>
          </cell>
          <cell r="K21">
            <v>1.5918364525417246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3.1355728955164197E-2</v>
          </cell>
          <cell r="J22">
            <v>4.3296578953827899E-6</v>
          </cell>
          <cell r="K22">
            <v>1.11130396363253E-2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3.3471612627212009E-2</v>
          </cell>
          <cell r="J23">
            <v>3.3434914067643449E-2</v>
          </cell>
          <cell r="K23">
            <v>3.6639781388547225E-2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5.6005698982760212E-4</v>
          </cell>
          <cell r="J24">
            <v>3.8865427327855912E-4</v>
          </cell>
          <cell r="K24">
            <v>2.8948329787970402E-4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5.6005698982760212E-4</v>
          </cell>
          <cell r="J25">
            <v>3.8865427327855912E-4</v>
          </cell>
          <cell r="K25">
            <v>2.8948329787970402E-4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2.5931929160292401E-6</v>
          </cell>
          <cell r="J26">
            <v>3.5872084447698698E-6</v>
          </cell>
          <cell r="K26">
            <v>6.09494985141768E-6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1.0081633020853076E-3</v>
          </cell>
          <cell r="J27">
            <v>1.0037407998972903E-3</v>
          </cell>
          <cell r="K27">
            <v>1.0047120510492391E-3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0.44028213813272243</v>
          </cell>
          <cell r="J28">
            <v>0.69096901344854522</v>
          </cell>
          <cell r="K28">
            <v>0.93243872711550468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0.44028213813272188</v>
          </cell>
          <cell r="J29">
            <v>0.69096901344854433</v>
          </cell>
          <cell r="K29">
            <v>0.93243872711550324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0.48689424420728689</v>
          </cell>
          <cell r="J30">
            <v>0.76411945819885041</v>
          </cell>
          <cell r="K30">
            <v>1.03115231393114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0.48689424420728689</v>
          </cell>
          <cell r="J31">
            <v>0.76411945819885041</v>
          </cell>
          <cell r="K31">
            <v>1.03115231393114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7.8472572930659498E-2</v>
          </cell>
          <cell r="J32">
            <v>0.41741913480027099</v>
          </cell>
          <cell r="K32">
            <v>0.389624877371128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0.22577252836776754</v>
          </cell>
          <cell r="J33">
            <v>0.51083085320807464</v>
          </cell>
          <cell r="K33">
            <v>0.61273320703034129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0.11327439062859491</v>
          </cell>
          <cell r="J34">
            <v>3.2357496568574375E-2</v>
          </cell>
          <cell r="K34">
            <v>7.8008960819717262E-5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0.11314853019456331</v>
          </cell>
          <cell r="J35">
            <v>3.2357496568574423E-2</v>
          </cell>
          <cell r="K35">
            <v>7.8008960819717262E-5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0.12585393424440347</v>
          </cell>
          <cell r="J36">
            <v>3.4791782358959029E-2</v>
          </cell>
          <cell r="K36">
            <v>7.8008960819717262E-5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0.12585393424440347</v>
          </cell>
          <cell r="J37">
            <v>3.4791782358959029E-2</v>
          </cell>
          <cell r="K37">
            <v>7.8008960819717262E-5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2.8772759495426201E-4</v>
          </cell>
          <cell r="J38">
            <v>1.60216829046965E-3</v>
          </cell>
          <cell r="K38">
            <v>4.36364655868402E-5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1.0880298692551801E-2</v>
          </cell>
          <cell r="J39">
            <v>3.7307407799115001E-3</v>
          </cell>
          <cell r="K39">
            <v>1.2952593949025861E-3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2.6140242271925E-3</v>
          </cell>
          <cell r="J40">
            <v>1.3479193324294921E-3</v>
          </cell>
          <cell r="K40">
            <v>0.61855635948713594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7.8076398091803481E-4</v>
          </cell>
          <cell r="J41">
            <v>3.5064655054529574E-4</v>
          </cell>
          <cell r="K41">
            <v>4.5241030559944103E-4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2.5383947039208765E-4</v>
          </cell>
          <cell r="J42">
            <v>1.4877130149684522E-4</v>
          </cell>
          <cell r="K42">
            <v>1.5200149607019734E-4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2.5128577750794465E-4</v>
          </cell>
          <cell r="J43">
            <v>1.4776097390701394E-4</v>
          </cell>
          <cell r="K43">
            <v>1.5109993202079358E-4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2.4693392683504953E-4</v>
          </cell>
          <cell r="J44">
            <v>1.4711148468233404E-4</v>
          </cell>
          <cell r="K44">
            <v>1.5065348548539637E-4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3.8766171385126719E-4</v>
          </cell>
          <cell r="J45">
            <v>2.0062766352032786E-4</v>
          </cell>
          <cell r="K45">
            <v>0.30852715918235235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4.3993896931106844E-4</v>
          </cell>
          <cell r="J46">
            <v>2.0431941920600507E-4</v>
          </cell>
          <cell r="K46">
            <v>0.30897109046780863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2.5360038837704703E-4</v>
          </cell>
          <cell r="J47">
            <v>1.4868193907167077E-4</v>
          </cell>
          <cell r="K47">
            <v>1.5194461779838907E-4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1.0833314725316824E-2</v>
          </cell>
          <cell r="K48">
            <v>0.82239255833675506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1.0942742146784664E-2</v>
          </cell>
          <cell r="K49">
            <v>0.83069955387551053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5.0553537925681999E-6</v>
          </cell>
          <cell r="J50">
            <v>1.7650259618148399E-3</v>
          </cell>
          <cell r="K50">
            <v>8.6746574075715496E-2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6.7337976008665397E-6</v>
          </cell>
          <cell r="J51">
            <v>1.7717597594157E-3</v>
          </cell>
          <cell r="K51">
            <v>8.8518333835131205E-2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0.27474063144710564</v>
          </cell>
          <cell r="J52">
            <v>0.32782091059063451</v>
          </cell>
          <cell r="K52">
            <v>0.43571834818652794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0.27474063144710542</v>
          </cell>
          <cell r="J53">
            <v>0.32782091059063434</v>
          </cell>
          <cell r="K53">
            <v>0.43571834818652772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0.30382771962696886</v>
          </cell>
          <cell r="J54">
            <v>0.36252675538301199</v>
          </cell>
          <cell r="K54">
            <v>0.48184673323784583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0.30382771962696886</v>
          </cell>
          <cell r="J55">
            <v>0.36252675538301199</v>
          </cell>
          <cell r="K55">
            <v>0.48184673323784583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5.5881601519179397E-2</v>
          </cell>
          <cell r="J56">
            <v>0.189286652461266</v>
          </cell>
          <cell r="K56">
            <v>0.20282162795374001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0.13492820548641962</v>
          </cell>
          <cell r="J57">
            <v>0.25297095256369967</v>
          </cell>
          <cell r="K57">
            <v>0.30755585226615567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2.6049062328870041</v>
          </cell>
          <cell r="K58">
            <v>9.3303203370739478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668.75003587752462</v>
          </cell>
          <cell r="K59">
            <v>2395.346128544375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-668.75003587752497</v>
          </cell>
          <cell r="K60">
            <v>-2395.34612854438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722.226580828382</v>
          </cell>
          <cell r="K61">
            <v>2536.1664673013101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7.7826140175472167</v>
          </cell>
          <cell r="K62">
            <v>27.329380035574424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0.113744398037737</v>
          </cell>
          <cell r="K63">
            <v>0.23433615219450801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0.113744398037737</v>
          </cell>
          <cell r="K64">
            <v>0.34808049093013665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0.17280820696506635</v>
          </cell>
          <cell r="J65">
            <v>0.18366375607401417</v>
          </cell>
          <cell r="K65">
            <v>0.20962765035380582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6.1389271823884686</v>
          </cell>
          <cell r="J66">
            <v>6.5168842093504713</v>
          </cell>
          <cell r="K66">
            <v>6.0830232688850643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2.3385197754349307</v>
          </cell>
          <cell r="J67">
            <v>2.544872958116577</v>
          </cell>
          <cell r="K67">
            <v>2.4766029494781772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2.0039641704943274</v>
          </cell>
          <cell r="J68">
            <v>1.4659273853811012</v>
          </cell>
          <cell r="K68">
            <v>3.076401507669261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0.29331866602235923</v>
          </cell>
          <cell r="J69">
            <v>0.3277511398904594</v>
          </cell>
          <cell r="K69">
            <v>0.39006542987170395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11.985226055141858</v>
          </cell>
          <cell r="J70">
            <v>12.041182734409597</v>
          </cell>
          <cell r="K70">
            <v>13.24938267291598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4.0371689213645201E-6</v>
          </cell>
          <cell r="J71">
            <v>1.44294618525595E-2</v>
          </cell>
          <cell r="K71">
            <v>5.2999865452699605E-7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0.62769279697112501</v>
          </cell>
          <cell r="J72">
            <v>0.64212225882368501</v>
          </cell>
          <cell r="K72">
            <v>0.64212278882233897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4.0209582241721234E-3</v>
          </cell>
          <cell r="J73">
            <v>1.5630755200089234E-3</v>
          </cell>
          <cell r="K73">
            <v>2.4042581748297872E-4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4.0172658842050303E-3</v>
          </cell>
          <cell r="J74">
            <v>1.5630755200089286E-3</v>
          </cell>
          <cell r="K74">
            <v>2.4042581748297891E-4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4.8804669246120553E-3</v>
          </cell>
          <cell r="J75">
            <v>1.8454787873226164E-3</v>
          </cell>
          <cell r="K75">
            <v>2.0576884865064189E-4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4.8804669246120553E-3</v>
          </cell>
          <cell r="J76">
            <v>1.8454787873226164E-3</v>
          </cell>
          <cell r="K76">
            <v>2.0576884865064189E-4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3.75672289359833E-3</v>
          </cell>
          <cell r="J77">
            <v>1.00279681800686E-4</v>
          </cell>
          <cell r="K77">
            <v>2.58123083640643E-5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5.1212558003096613E-3</v>
          </cell>
          <cell r="J78">
            <v>3.8640856403700935E-3</v>
          </cell>
          <cell r="K78">
            <v>1.6538383812445586E-3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1.2329103980984789E-2</v>
          </cell>
          <cell r="J79">
            <v>1.2623008236149504E-2</v>
          </cell>
          <cell r="K79">
            <v>4.5485060524721628E-3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4.6634174390540115E-3</v>
          </cell>
          <cell r="J80">
            <v>4.8774856888247802E-3</v>
          </cell>
          <cell r="K80">
            <v>1.8301517015397808E-3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2.08627976138724E-2</v>
          </cell>
          <cell r="J81">
            <v>2.0105290400323942E-2</v>
          </cell>
          <cell r="K81">
            <v>7.6280444382110487E-3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2.6963972634295498E-4</v>
          </cell>
          <cell r="J82">
            <v>6.4965900937839102E-5</v>
          </cell>
          <cell r="K82">
            <v>1.64450443288501E-6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4.1483006779271083E-4</v>
          </cell>
          <cell r="J83">
            <v>4.3366421696429505E-4</v>
          </cell>
          <cell r="K83">
            <v>1.6273085648982832E-4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6.1393082000861937E-3</v>
          </cell>
          <cell r="J84">
            <v>6.3677787950264936E-4</v>
          </cell>
          <cell r="K84">
            <v>5.0459877695822069E-6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0.56911387014798998</v>
          </cell>
          <cell r="J85">
            <v>5.90293094298956E-2</v>
          </cell>
          <cell r="K85">
            <v>4.6776306624027E-4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6.1393082000861937E-3</v>
          </cell>
          <cell r="J86">
            <v>6.3677787950264936E-4</v>
          </cell>
          <cell r="K86">
            <v>5.0459877695822069E-6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8.8336093123112247E-3</v>
          </cell>
          <cell r="J87">
            <v>1.1815452886081077E-2</v>
          </cell>
          <cell r="K87">
            <v>2.5592446215758957E-2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8.8254976416846931E-3</v>
          </cell>
          <cell r="J88">
            <v>1.1815452886081121E-2</v>
          </cell>
          <cell r="K88">
            <v>2.5592446215758975E-2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1.0713983176854134E-2</v>
          </cell>
          <cell r="J89">
            <v>1.3907099218014276E-2</v>
          </cell>
          <cell r="K89">
            <v>2.8442723155464238E-2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1.0713983176854134E-2</v>
          </cell>
          <cell r="J90">
            <v>1.3907099218014276E-2</v>
          </cell>
          <cell r="K90">
            <v>2.8442723155464238E-2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6.9234089455443302E-3</v>
          </cell>
          <cell r="J91">
            <v>4.7308270067636599E-3</v>
          </cell>
          <cell r="K91">
            <v>3.3349208617527801E-3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8.4581116248681996E-3</v>
          </cell>
          <cell r="J92">
            <v>1.1709947228045813E-2</v>
          </cell>
          <cell r="K92">
            <v>9.657567707466664E-3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0.43573305724004935</v>
          </cell>
          <cell r="K93">
            <v>1.4943036488637726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745.97717072424769</v>
          </cell>
          <cell r="K94">
            <v>2285.5097586473453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-745.977170724247</v>
          </cell>
          <cell r="K95">
            <v>-2285.5097586473398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4.0883392960429896</v>
          </cell>
          <cell r="K96">
            <v>13.239530328933025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838.17659631938</v>
          </cell>
          <cell r="K97">
            <v>2567.98849286218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9.0320753913726399</v>
          </cell>
          <cell r="K98">
            <v>27.672289793773572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4.3638692465588297E-2</v>
          </cell>
          <cell r="K99">
            <v>3.8003845114694901E-2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4.3638692465588297E-2</v>
          </cell>
          <cell r="K100">
            <v>8.1642478382213002E-2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5.6482362667500325E-5</v>
          </cell>
          <cell r="K102">
            <v>0.12055405387190754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1.9979276191914093E-5</v>
          </cell>
          <cell r="K103">
            <v>3.4625814714125559E-3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5.7059184841040732E-5</v>
          </cell>
          <cell r="K105">
            <v>0.12096412143753096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>
            <v>6.8375758944155488E-6</v>
          </cell>
          <cell r="K106">
            <v>3.4404716826868316E-3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1.8606708607395301E-6</v>
          </cell>
          <cell r="J107">
            <v>5.9841691014697101E-6</v>
          </cell>
          <cell r="K107">
            <v>5.8182235518402E-6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1.0275198112939647</v>
          </cell>
          <cell r="J108">
            <v>1.0275257954630663</v>
          </cell>
          <cell r="K108">
            <v>0.72469630046039812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464.52354671637602</v>
          </cell>
          <cell r="J109">
            <v>214.475488671005</v>
          </cell>
          <cell r="K109">
            <v>6.4927225052698902E-4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6.4335629670792569</v>
          </cell>
          <cell r="J110">
            <v>3.0974321926110302</v>
          </cell>
          <cell r="K110">
            <v>0.23592999833470277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6.3028975131122866</v>
          </cell>
          <cell r="J111">
            <v>2.9101151787110573</v>
          </cell>
          <cell r="K111">
            <v>8.8096641862549332E-6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0.23993955273925041</v>
          </cell>
          <cell r="J112">
            <v>0.23994122027449963</v>
          </cell>
          <cell r="K112">
            <v>0.23994475789014016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8.30614278012419E-6</v>
          </cell>
          <cell r="J116">
            <v>5.0596298230519596E-6</v>
          </cell>
          <cell r="K116">
            <v>3.89551648108248E-6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5.1246361136533632E-7</v>
          </cell>
          <cell r="J117">
            <v>1.3617643647574009E-6</v>
          </cell>
          <cell r="K117">
            <v>6.9005533909652493E-6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0.16260614910449114</v>
          </cell>
          <cell r="J118">
            <v>8.1266190898634447E-2</v>
          </cell>
          <cell r="K118">
            <v>7.3749348896935141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0.16260614910449114</v>
          </cell>
          <cell r="J119">
            <v>8.1266190898634447E-2</v>
          </cell>
          <cell r="K119">
            <v>7.3749348896935141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0.46273462274932298</v>
          </cell>
          <cell r="J120">
            <v>0.75799779568882397</v>
          </cell>
          <cell r="K120">
            <v>1.08996601416123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1.7440686798656513E-2</v>
          </cell>
          <cell r="J121">
            <v>1.7440100185092122E-2</v>
          </cell>
          <cell r="K121">
            <v>1.1999543640742298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1.2798583811562962</v>
          </cell>
          <cell r="J122">
            <v>0.95096156732589332</v>
          </cell>
          <cell r="K122">
            <v>3.878456629510486E-4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12.342959798278395</v>
          </cell>
          <cell r="J123">
            <v>8.9225581583157823</v>
          </cell>
          <cell r="K123">
            <v>3.4363125737462905E-3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2535.9342623664102</v>
          </cell>
          <cell r="J124">
            <v>1884.2522393740501</v>
          </cell>
          <cell r="K124">
            <v>0.76848432581984905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27.326877827224276</v>
          </cell>
          <cell r="J125">
            <v>20.304442234634148</v>
          </cell>
          <cell r="K125">
            <v>8.2810810971966561E-3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2.33031225785641E-3</v>
          </cell>
          <cell r="J126">
            <v>2.0076234531361602E-3</v>
          </cell>
          <cell r="K126">
            <v>7.1207777405961196E-8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6.9926323170743029E-2</v>
          </cell>
          <cell r="J127">
            <v>5.1956357623328099E-2</v>
          </cell>
          <cell r="K127">
            <v>1.2015511905464835E-4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1.2185032806382801</v>
          </cell>
          <cell r="J128">
            <v>0.32595271092045502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4.9101868897983925E-3</v>
          </cell>
          <cell r="J129">
            <v>1.5426487857064066E-3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1.1124834457087106E-2</v>
          </cell>
          <cell r="J130">
            <v>3.4641937643933316E-3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2.1604668096423477E-2</v>
          </cell>
          <cell r="J131">
            <v>5.7793033851144416E-3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4.3613420729394646E-4</v>
          </cell>
          <cell r="J133">
            <v>1.472922793873173E-4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0.17968751351700391</v>
          </cell>
          <cell r="J134">
            <v>0.38051015835477109</v>
          </cell>
          <cell r="K134">
            <v>0.14715504885738492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0.47798648915853331</v>
          </cell>
          <cell r="J135">
            <v>1.0121945099092446</v>
          </cell>
          <cell r="K135">
            <v>0.39144692799501424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0.67154841679428257</v>
          </cell>
          <cell r="J136">
            <v>1.3891184913223342</v>
          </cell>
          <cell r="K136">
            <v>0.51699267381661551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1.3097415429880299E-2</v>
          </cell>
          <cell r="J137">
            <v>1.4976343586279001E-2</v>
          </cell>
          <cell r="K137">
            <v>8.9518546117231796E-7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1.3334356129448133E-2</v>
          </cell>
          <cell r="J138">
            <v>2.8235435881857226E-2</v>
          </cell>
          <cell r="K138">
            <v>1.0919790465086801E-2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17.848631049132337</v>
          </cell>
          <cell r="J139">
            <v>8.8890220479343611</v>
          </cell>
          <cell r="K139">
            <v>6.2580409575924225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17.848631049132337</v>
          </cell>
          <cell r="J140">
            <v>8.8890220479343611</v>
          </cell>
          <cell r="K140">
            <v>6.2580409575924225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3.7710043003696599E-6</v>
          </cell>
          <cell r="J141">
            <v>5.5665915399847098E-6</v>
          </cell>
          <cell r="K141">
            <v>8.4953842390874597E-6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1.7000048074515648</v>
          </cell>
          <cell r="J142">
            <v>1.1999987117813882</v>
          </cell>
          <cell r="K142">
            <v>1.1999990003600014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228.56540649083678</v>
          </cell>
          <cell r="K143">
            <v>387.4154377858959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-228.56540649083701</v>
          </cell>
          <cell r="K144">
            <v>-387.41543778589602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0.91070737282955172</v>
          </cell>
          <cell r="K145">
            <v>1.0895622362614634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0.17980264019876752</v>
          </cell>
          <cell r="K146">
            <v>0.32119186538894923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299.15857788681097</v>
          </cell>
          <cell r="K147">
            <v>534.40428667981598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3.2236915720561519</v>
          </cell>
          <cell r="K148">
            <v>5.7586668823256097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1.7899235343575501E-2</v>
          </cell>
          <cell r="K149">
            <v>1.4397194337301999E-2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1.7899235343575501E-2</v>
          </cell>
          <cell r="K150">
            <v>3.229637219545671E-2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7.7067435856260627E-3</v>
          </cell>
          <cell r="J151">
            <v>8.2703023315854017E-3</v>
          </cell>
          <cell r="K151">
            <v>8.6911559134019607E-3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7.7067435856260627E-3</v>
          </cell>
          <cell r="J152">
            <v>8.2703023315854017E-3</v>
          </cell>
          <cell r="K152">
            <v>8.6911559134019607E-3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2.1397255815487099E-7</v>
          </cell>
          <cell r="J153">
            <v>6.1506452873503197E-8</v>
          </cell>
          <cell r="K153">
            <v>8.6058634317623299E-8</v>
          </cell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7.0785118981363205E-4</v>
          </cell>
          <cell r="J154">
            <v>7.0791269626650495E-4</v>
          </cell>
          <cell r="K154">
            <v>7.07998754900823E-4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0.15343118288983124</v>
          </cell>
          <cell r="J155">
            <v>0.16816075838931854</v>
          </cell>
          <cell r="K155">
            <v>0.19689461908315029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7.6715591444915621</v>
          </cell>
          <cell r="J156">
            <v>8.4080379194659276</v>
          </cell>
          <cell r="K156">
            <v>9.8447309541575176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13.190697980442907</v>
          </cell>
          <cell r="J157">
            <v>14.457020628384559</v>
          </cell>
          <cell r="K157">
            <v>16.927311680605687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0.14566090026622899</v>
          </cell>
          <cell r="J158">
            <v>6.04567252462248E-2</v>
          </cell>
          <cell r="K158">
            <v>0.17020166836293299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0.28981524093783245</v>
          </cell>
          <cell r="J159">
            <v>0.31763683302766338</v>
          </cell>
          <cell r="K159">
            <v>0.37191136339020736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12.508578811542474</v>
          </cell>
          <cell r="K160">
            <v>37.976875587868371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-12.508578811542501</v>
          </cell>
          <cell r="K161">
            <v>-37.976875587868399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8.0739093452461372E-2</v>
          </cell>
          <cell r="K162">
            <v>0.24512924716051782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9.1445750984012947E-2</v>
          </cell>
          <cell r="K163">
            <v>0.27093232580899412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14.2944548899158</v>
          </cell>
          <cell r="K164">
            <v>65.214715160615796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0.25344778173609489</v>
          </cell>
          <cell r="K165">
            <v>1.1562892758974435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1.2245939601713199E-2</v>
          </cell>
          <cell r="K166">
            <v>1.58440596624254E-2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1.2245939601713199E-2</v>
          </cell>
          <cell r="K167">
            <v>2.808973225432913E-2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18.815576246642379</v>
          </cell>
          <cell r="J168">
            <v>40.476872399470693</v>
          </cell>
          <cell r="K168">
            <v>44.711652746659489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18.815576246642379</v>
          </cell>
          <cell r="J169">
            <v>40.476872399470693</v>
          </cell>
          <cell r="K169">
            <v>44.711652746659489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18.815576246642401</v>
          </cell>
          <cell r="J170">
            <v>40.4768723994707</v>
          </cell>
          <cell r="K170">
            <v>44.711652746659503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0.73008837675831695</v>
          </cell>
          <cell r="J171">
            <v>6.6517717188149197</v>
          </cell>
          <cell r="K171">
            <v>5.1184527718019899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5.423985001451209</v>
          </cell>
          <cell r="J172">
            <v>11.66830631127759</v>
          </cell>
          <cell r="K172">
            <v>12.8890695293906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8.3448122646052489</v>
          </cell>
          <cell r="J173">
            <v>9.2806551069160488</v>
          </cell>
          <cell r="K173">
            <v>9.0519105223856542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9.0540097370428754</v>
          </cell>
          <cell r="J174">
            <v>10.062786429042005</v>
          </cell>
          <cell r="K174">
            <v>9.8019143793016177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I175">
            <v>2.98211009115516E-7</v>
          </cell>
          <cell r="J175">
            <v>4.1405702641475598E-7</v>
          </cell>
          <cell r="K175">
            <v>3.9727581327280398E-7</v>
          </cell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0.84970092867485003</v>
          </cell>
          <cell r="J176">
            <v>0.84970134273187703</v>
          </cell>
          <cell r="K176">
            <v>0.84970174000769005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2.2448921941022101E-2</v>
          </cell>
          <cell r="J177">
            <v>2.4022871392146594E-2</v>
          </cell>
          <cell r="K177">
            <v>2.4980938131579537E-2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2.2448921941022101E-2</v>
          </cell>
          <cell r="J178">
            <v>2.4022871392146594E-2</v>
          </cell>
          <cell r="K178">
            <v>2.4980938131579537E-2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I179">
            <v>6.6721041734538005E-7</v>
          </cell>
          <cell r="J179">
            <v>1.25340820598026E-6</v>
          </cell>
          <cell r="K179">
            <v>2.4444432105301699E-6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1.5103335017273201E-3</v>
          </cell>
          <cell r="J180">
            <v>1.5115869099333E-3</v>
          </cell>
          <cell r="K180">
            <v>1.51403135314383E-3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5.6886019592962682E-2</v>
          </cell>
          <cell r="J181">
            <v>6.3565746199370277E-2</v>
          </cell>
          <cell r="K181">
            <v>6.0163962763265529E-2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5.6886019592962682E-2</v>
          </cell>
          <cell r="J182">
            <v>6.3565746199370277E-2</v>
          </cell>
          <cell r="K182">
            <v>6.0163962763265529E-2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J183"/>
          <cell r="K183">
            <v>3.7012146455369698E-8</v>
          </cell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5.0212233304208599E-3</v>
          </cell>
          <cell r="J184">
            <v>5.0212233304208599E-3</v>
          </cell>
          <cell r="K184">
            <v>5.0212603425673101E-3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5.8234746912065454</v>
          </cell>
          <cell r="J185">
            <v>5.3889078080481614</v>
          </cell>
          <cell r="K185">
            <v>4.8212940580368802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2.7529153085703624</v>
          </cell>
          <cell r="J186">
            <v>2.5474836910773058</v>
          </cell>
          <cell r="K186">
            <v>2.2791571910719743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7.9659467258060577</v>
          </cell>
          <cell r="J187">
            <v>7.2260264582268441</v>
          </cell>
          <cell r="K187">
            <v>6.2011675541345426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5.1367498366013502E-2</v>
          </cell>
          <cell r="J188">
            <v>3.3216616114561802E-2</v>
          </cell>
          <cell r="K188">
            <v>6.4343054619247997E-2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0.13621391181136891</v>
          </cell>
          <cell r="J189">
            <v>0.12191772383870794</v>
          </cell>
          <cell r="K189">
            <v>0.11017725912870721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0.46998648573771989</v>
          </cell>
          <cell r="J190">
            <v>2.0660602293710095</v>
          </cell>
          <cell r="K190">
            <v>6.9868863020015937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0.46998648573771989</v>
          </cell>
          <cell r="J191">
            <v>2.0660602293710095</v>
          </cell>
          <cell r="K191">
            <v>6.9868863020015937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6.1436408901297902E-2</v>
          </cell>
          <cell r="J192">
            <v>0.40185973842872302</v>
          </cell>
          <cell r="K192">
            <v>2.4377661468863099E-6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3.3414943530603397E-2</v>
          </cell>
          <cell r="J193">
            <v>0.14688074742689999</v>
          </cell>
          <cell r="K193">
            <v>0.49671249746473001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5.5285078208082802E-2</v>
          </cell>
          <cell r="J194">
            <v>4.2982818592005749E-2</v>
          </cell>
          <cell r="K194">
            <v>0.11995312619541498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5.5346574401862587E-2</v>
          </cell>
          <cell r="J195">
            <v>4.2982818592005714E-2</v>
          </cell>
          <cell r="K195">
            <v>0.11995312619541496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6.1485559511400813E-2</v>
          </cell>
          <cell r="J196">
            <v>4.6212436507008597E-2</v>
          </cell>
          <cell r="K196">
            <v>0.12116581789354956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6.1485559511400813E-2</v>
          </cell>
          <cell r="J197">
            <v>4.6212436507008597E-2</v>
          </cell>
          <cell r="K197">
            <v>0.12116581789354956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4.1537916273418204E-3</v>
          </cell>
          <cell r="J198">
            <v>2.60229427312762E-4</v>
          </cell>
          <cell r="K198">
            <v>5.5393194529814701E-3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5.0891154158275633E-3</v>
          </cell>
          <cell r="J199">
            <v>4.4672870337812949E-3</v>
          </cell>
          <cell r="K199">
            <v>7.460746738802199E-3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1.9225189649223899</v>
          </cell>
          <cell r="J200">
            <v>7.3305941133875985</v>
          </cell>
          <cell r="K200">
            <v>8.0975395986564056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1.9225189649223899</v>
          </cell>
          <cell r="J201">
            <v>7.3305941133875985</v>
          </cell>
          <cell r="K201">
            <v>8.0975395986564056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1.9225189649223899</v>
          </cell>
          <cell r="J202">
            <v>7.3305941133876003</v>
          </cell>
          <cell r="K202">
            <v>8.0975395986564092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2.6908471443237901E-2</v>
          </cell>
          <cell r="J203">
            <v>1.5590065219490099</v>
          </cell>
          <cell r="K203">
            <v>0.75379948542858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0.55420845885515102</v>
          </cell>
          <cell r="J204">
            <v>2.1131994720905101</v>
          </cell>
          <cell r="K204">
            <v>2.3342864768780598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/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/>
          <cell r="K208"/>
        </row>
        <row r="209">
          <cell r="B209" t="str">
            <v>CHPNGA</v>
          </cell>
          <cell r="C209" t="str">
            <v>VAR_ncap</v>
          </cell>
          <cell r="D209" t="str">
            <v>-</v>
          </cell>
          <cell r="J209"/>
          <cell r="K209"/>
        </row>
        <row r="210">
          <cell r="B210" t="str">
            <v>CHPNGA</v>
          </cell>
          <cell r="C210" t="str">
            <v>VAR_cap</v>
          </cell>
          <cell r="D210" t="str">
            <v>-</v>
          </cell>
          <cell r="I210">
            <v>-1.108365424722698E-6</v>
          </cell>
          <cell r="J210"/>
          <cell r="K210"/>
        </row>
        <row r="211">
          <cell r="B211" t="str">
            <v>EHYD-PUM00</v>
          </cell>
          <cell r="C211" t="str">
            <v>VAR_fout</v>
          </cell>
          <cell r="D211" t="str">
            <v>ELC</v>
          </cell>
          <cell r="I211">
            <v>12.856344413811897</v>
          </cell>
          <cell r="J211">
            <v>13.51039079152258</v>
          </cell>
          <cell r="K211">
            <v>13.88104737211256</v>
          </cell>
        </row>
        <row r="212">
          <cell r="B212" t="str">
            <v>EHYD-PUM00</v>
          </cell>
          <cell r="C212" t="str">
            <v>VAR_fout</v>
          </cell>
          <cell r="D212" t="str">
            <v>AUX_PUMP_OUT</v>
          </cell>
          <cell r="I212">
            <v>12.856344413811897</v>
          </cell>
          <cell r="J212">
            <v>13.510390791522578</v>
          </cell>
          <cell r="K212">
            <v>13.88104737211256</v>
          </cell>
        </row>
        <row r="213">
          <cell r="B213" t="str">
            <v>EHYD-PUM00</v>
          </cell>
          <cell r="C213" t="str">
            <v>VAR_fin</v>
          </cell>
          <cell r="D213" t="str">
            <v>AUX_PUMP_IN</v>
          </cell>
          <cell r="I213">
            <v>16.070428218965052</v>
          </cell>
          <cell r="J213">
            <v>16.887987093853589</v>
          </cell>
          <cell r="K213">
            <v>17.351307812846603</v>
          </cell>
        </row>
        <row r="214">
          <cell r="B214" t="str">
            <v>EHYD-PUM00</v>
          </cell>
          <cell r="C214" t="str">
            <v>VAR_fin</v>
          </cell>
          <cell r="D214" t="str">
            <v>ELC</v>
          </cell>
          <cell r="I214">
            <v>16.070428218965052</v>
          </cell>
          <cell r="J214">
            <v>16.887987093853589</v>
          </cell>
          <cell r="K214">
            <v>17.351307812846603</v>
          </cell>
        </row>
        <row r="215">
          <cell r="B215" t="str">
            <v>EHYD-PUM00</v>
          </cell>
          <cell r="C215" t="str">
            <v>VAR_cap</v>
          </cell>
          <cell r="D215" t="str">
            <v>-</v>
          </cell>
          <cell r="I215">
            <v>4.3594499999999998</v>
          </cell>
          <cell r="J215">
            <v>4.3594499999999998</v>
          </cell>
          <cell r="K215">
            <v>4.3594499999999998</v>
          </cell>
        </row>
        <row r="216">
          <cell r="B216" t="str">
            <v>RHNS-SHSTG-CHPNGA</v>
          </cell>
          <cell r="C216" t="str">
            <v>VAR_fout</v>
          </cell>
          <cell r="D216" t="str">
            <v>RHNS_LTH_CHPNGA</v>
          </cell>
          <cell r="I216">
            <v>3.3950515016328234E-3</v>
          </cell>
          <cell r="J216">
            <v>1.4748052153321517E-3</v>
          </cell>
          <cell r="K216">
            <v>2.403802184777436E-4</v>
          </cell>
        </row>
        <row r="217">
          <cell r="B217" t="str">
            <v>RHNS-SHSTG-CHPNGA</v>
          </cell>
          <cell r="C217" t="str">
            <v>VAR_fout</v>
          </cell>
          <cell r="D217" t="str">
            <v>AUX_RNS-CHPNGA_OUT</v>
          </cell>
          <cell r="I217">
            <v>3.3919339153136072E-3</v>
          </cell>
          <cell r="J217">
            <v>1.4748052153321577E-3</v>
          </cell>
          <cell r="K217">
            <v>2.4038021847774382E-4</v>
          </cell>
        </row>
        <row r="218">
          <cell r="B218" t="str">
            <v>RHNS-SHSTG-CHPNGA</v>
          </cell>
          <cell r="C218" t="str">
            <v>VAR_fin</v>
          </cell>
          <cell r="D218" t="str">
            <v>RHNS_LTH_CHPNGA</v>
          </cell>
          <cell r="I218">
            <v>4.1217923535701844E-3</v>
          </cell>
          <cell r="J218">
            <v>1.7416313700598079E-3</v>
          </cell>
          <cell r="K218">
            <v>2.0572974146977242E-4</v>
          </cell>
        </row>
        <row r="219">
          <cell r="B219" t="str">
            <v>RHNS-SHSTG-CHPNGA</v>
          </cell>
          <cell r="C219" t="str">
            <v>VAR_fin</v>
          </cell>
          <cell r="D219" t="str">
            <v>AUX_RNS-CHPNGA_IN</v>
          </cell>
          <cell r="I219">
            <v>4.1217923535701844E-3</v>
          </cell>
          <cell r="J219">
            <v>1.7416313700598079E-3</v>
          </cell>
          <cell r="K219">
            <v>2.0572974146977242E-4</v>
          </cell>
        </row>
        <row r="220">
          <cell r="B220" t="str">
            <v>RHNS-SHSTG-CHPNGA</v>
          </cell>
          <cell r="C220" t="str">
            <v>VAR_ncap</v>
          </cell>
          <cell r="D220" t="str">
            <v>-</v>
          </cell>
          <cell r="I220">
            <v>3.7942312625872301E-3</v>
          </cell>
          <cell r="J220">
            <v>9.2177140881763106E-5</v>
          </cell>
          <cell r="K220">
            <v>2.5364524464654001E-5</v>
          </cell>
        </row>
        <row r="221">
          <cell r="B221" t="str">
            <v>RHNS-SHSTG-CHPNGA</v>
          </cell>
          <cell r="C221" t="str">
            <v>VAR_cap</v>
          </cell>
          <cell r="D221" t="str">
            <v>-</v>
          </cell>
          <cell r="I221">
            <v>5.0424693668748811E-3</v>
          </cell>
          <cell r="J221">
            <v>3.9004540822241691E-3</v>
          </cell>
          <cell r="K221">
            <v>1.6631577078611067E-3</v>
          </cell>
        </row>
        <row r="222">
          <cell r="B222" t="str">
            <v>ITOT-CHPGFC</v>
          </cell>
          <cell r="C222" t="str">
            <v>VAR_fout</v>
          </cell>
          <cell r="D222" t="str">
            <v>ITOT_NKEV_GAS_ELC_CHP</v>
          </cell>
          <cell r="I222">
            <v>4.6321820010354143E-3</v>
          </cell>
          <cell r="J222">
            <v>4.9213812449654688E-3</v>
          </cell>
          <cell r="K222">
            <v>9.8630127723662903E-4</v>
          </cell>
        </row>
        <row r="223">
          <cell r="B223" t="str">
            <v>ITOT-CHPGFC</v>
          </cell>
          <cell r="C223" t="str">
            <v>VAR_fout</v>
          </cell>
          <cell r="D223" t="str">
            <v>ITOT_LTH_CHP</v>
          </cell>
          <cell r="I223">
            <v>2.1992240234273647E-3</v>
          </cell>
          <cell r="J223">
            <v>2.2123640459019078E-3</v>
          </cell>
          <cell r="K223">
            <v>3.9798121713057025E-4</v>
          </cell>
        </row>
        <row r="224">
          <cell r="B224" t="str">
            <v>ITOT-CHPGFC</v>
          </cell>
          <cell r="C224" t="str">
            <v>VAR_fout</v>
          </cell>
          <cell r="D224" t="str">
            <v>CO2_I</v>
          </cell>
          <cell r="I224">
            <v>0.49061984010966597</v>
          </cell>
          <cell r="J224">
            <v>0.50929523342395</v>
          </cell>
          <cell r="K224">
            <v>9.7591915852887595E-2</v>
          </cell>
        </row>
        <row r="225">
          <cell r="B225" t="str">
            <v>ITOT-CHPGFC</v>
          </cell>
          <cell r="C225" t="str">
            <v>VAR_fin</v>
          </cell>
          <cell r="D225" t="str">
            <v>INGA</v>
          </cell>
          <cell r="I225">
            <v>8.6989333352777715E-3</v>
          </cell>
          <cell r="J225">
            <v>9.0300573302118745E-3</v>
          </cell>
          <cell r="K225">
            <v>1.7303531179589985E-3</v>
          </cell>
        </row>
        <row r="226">
          <cell r="B226" t="str">
            <v>ITOT-CHPGFC</v>
          </cell>
          <cell r="C226" t="str">
            <v>VAR_ncap</v>
          </cell>
          <cell r="D226" t="str">
            <v>-</v>
          </cell>
          <cell r="I226">
            <v>4.5757158043517598E-4</v>
          </cell>
          <cell r="J226">
            <v>2.6471711326549298E-6</v>
          </cell>
          <cell r="K226">
            <v>5.2989594497721198E-6</v>
          </cell>
        </row>
        <row r="227">
          <cell r="B227" t="str">
            <v>ITOT-CHPGFC</v>
          </cell>
          <cell r="C227" t="str">
            <v>VAR_cap</v>
          </cell>
          <cell r="D227" t="str">
            <v>-</v>
          </cell>
          <cell r="I227">
            <v>4.5757158043517598E-4</v>
          </cell>
          <cell r="J227">
            <v>4.6005462371439941E-4</v>
          </cell>
          <cell r="K227">
            <v>2.0051245362850159E-4</v>
          </cell>
        </row>
        <row r="228">
          <cell r="B228" t="str">
            <v>ITOT-SWSTG-CHP</v>
          </cell>
          <cell r="C228" t="str">
            <v>VAR_fout</v>
          </cell>
          <cell r="D228" t="str">
            <v>ITOT_LTH_CHP</v>
          </cell>
          <cell r="I228">
            <v>0.21418283597990045</v>
          </cell>
          <cell r="J228">
            <v>0.10698918142746972</v>
          </cell>
          <cell r="K228">
            <v>0.20315250450441488</v>
          </cell>
        </row>
        <row r="229">
          <cell r="B229" t="str">
            <v>ITOT-SWSTG-CHP</v>
          </cell>
          <cell r="C229" t="str">
            <v>VAR_fout</v>
          </cell>
          <cell r="D229" t="str">
            <v>AUX_ITOT-CHP_OUT</v>
          </cell>
          <cell r="I229">
            <v>0.21394485505103428</v>
          </cell>
          <cell r="J229">
            <v>0.10698918142746988</v>
          </cell>
          <cell r="K229">
            <v>0.20315250450441488</v>
          </cell>
        </row>
        <row r="230">
          <cell r="B230" t="str">
            <v>ITOT-SWSTG-CHP</v>
          </cell>
          <cell r="C230" t="str">
            <v>VAR_fin</v>
          </cell>
          <cell r="D230" t="str">
            <v>ITOT_LTH_CHP</v>
          </cell>
          <cell r="I230">
            <v>0.23799133421627686</v>
          </cell>
          <cell r="J230">
            <v>0.11504869697801276</v>
          </cell>
          <cell r="K230">
            <v>0.20521111641530251</v>
          </cell>
        </row>
        <row r="231">
          <cell r="B231" t="str">
            <v>ITOT-SWSTG-CHP</v>
          </cell>
          <cell r="C231" t="str">
            <v>VAR_fin</v>
          </cell>
          <cell r="D231" t="str">
            <v>AUX_ITOT-CHP_IN</v>
          </cell>
          <cell r="I231">
            <v>0.23799133421627686</v>
          </cell>
          <cell r="J231">
            <v>0.11504869697801276</v>
          </cell>
          <cell r="K231">
            <v>0.20521111641530251</v>
          </cell>
        </row>
        <row r="232">
          <cell r="B232" t="str">
            <v>ITOT-SWSTG-CHP</v>
          </cell>
          <cell r="C232" t="str">
            <v>VAR_ncap</v>
          </cell>
          <cell r="D232" t="str">
            <v>-</v>
          </cell>
          <cell r="I232">
            <v>4.8782538674739903E-2</v>
          </cell>
          <cell r="J232">
            <v>1.1915405155354499E-4</v>
          </cell>
          <cell r="K232">
            <v>1.20844924489651E-2</v>
          </cell>
        </row>
        <row r="233">
          <cell r="B233" t="str">
            <v>ITOT-SWSTG-CHP</v>
          </cell>
          <cell r="C233" t="str">
            <v>VAR_cap</v>
          </cell>
          <cell r="D233" t="str">
            <v>-</v>
          </cell>
          <cell r="I233">
            <v>5.0713753174805941E-2</v>
          </cell>
          <cell r="J233">
            <v>4.8938154195546611E-2</v>
          </cell>
          <cell r="K233">
            <v>3.2780271208047579E-2</v>
          </cell>
        </row>
        <row r="234">
          <cell r="B234" t="str">
            <v>D-ELFO</v>
          </cell>
          <cell r="C234" t="str">
            <v>VAR_fout</v>
          </cell>
          <cell r="D234" t="str">
            <v>CO2</v>
          </cell>
          <cell r="I234">
            <v>2.6699673273155198</v>
          </cell>
          <cell r="J234">
            <v>1.74135436969645</v>
          </cell>
          <cell r="K234">
            <v>2.3222751015630001E-2</v>
          </cell>
        </row>
        <row r="235">
          <cell r="B235" t="str">
            <v>D-ELFO</v>
          </cell>
          <cell r="C235" t="str">
            <v>VAR_fout</v>
          </cell>
          <cell r="D235" t="str">
            <v>ELFO</v>
          </cell>
          <cell r="I235">
            <v>3.5622466233130014E-2</v>
          </cell>
          <cell r="J235">
            <v>2.3232994875931112E-2</v>
          </cell>
          <cell r="K235">
            <v>3.0983587530503993E-4</v>
          </cell>
        </row>
        <row r="236">
          <cell r="B236" t="str">
            <v>D-ELFO</v>
          </cell>
          <cell r="C236" t="str">
            <v>VAR_fin</v>
          </cell>
          <cell r="D236" t="str">
            <v>LFO</v>
          </cell>
          <cell r="I236">
            <v>3.6227507833317789E-2</v>
          </cell>
          <cell r="J236">
            <v>2.3627603388011474E-2</v>
          </cell>
          <cell r="K236">
            <v>3.1509838555807265E-4</v>
          </cell>
        </row>
        <row r="237">
          <cell r="B237" t="str">
            <v>EHYD-DAM00</v>
          </cell>
          <cell r="C237" t="str">
            <v>VAR_fout</v>
          </cell>
          <cell r="D237" t="str">
            <v>ELC</v>
          </cell>
          <cell r="I237">
            <v>71.378720326428436</v>
          </cell>
          <cell r="J237">
            <v>71.396092219096147</v>
          </cell>
          <cell r="K237">
            <v>71.397596501535432</v>
          </cell>
        </row>
        <row r="238">
          <cell r="B238" t="str">
            <v>EHYD-DAM00</v>
          </cell>
          <cell r="C238" t="str">
            <v>VAR_fin</v>
          </cell>
          <cell r="D238" t="str">
            <v>HYDD</v>
          </cell>
          <cell r="I238">
            <v>71.378720326428436</v>
          </cell>
          <cell r="J238">
            <v>71.396092219096147</v>
          </cell>
          <cell r="K238">
            <v>71.397596501535432</v>
          </cell>
        </row>
        <row r="239">
          <cell r="B239" t="str">
            <v>EHYD-DAM00</v>
          </cell>
          <cell r="C239" t="str">
            <v>VAR_cap</v>
          </cell>
          <cell r="D239" t="str">
            <v>-</v>
          </cell>
          <cell r="I239">
            <v>7.3394300010600002</v>
          </cell>
          <cell r="J239">
            <v>7.3394300010600002</v>
          </cell>
          <cell r="K239">
            <v>7.3394300010600002</v>
          </cell>
        </row>
        <row r="240">
          <cell r="B240" t="str">
            <v>RHES-SHSTG-CHPWOD</v>
          </cell>
          <cell r="C240" t="str">
            <v>VAR_fout</v>
          </cell>
          <cell r="D240" t="str">
            <v>AUX_RES-CHPWOD_OUT</v>
          </cell>
          <cell r="I240">
            <v>3.9155443415810195E-3</v>
          </cell>
          <cell r="J240">
            <v>2.0025086344303451E-3</v>
          </cell>
          <cell r="K240">
            <v>2.4173271361313548E-3</v>
          </cell>
        </row>
        <row r="241">
          <cell r="B241" t="str">
            <v>RHES-SHSTG-CHPWOD</v>
          </cell>
          <cell r="C241" t="str">
            <v>VAR_fout</v>
          </cell>
          <cell r="D241" t="str">
            <v>RHES_LTH_CHPWOD</v>
          </cell>
          <cell r="I241">
            <v>3.9191431874832042E-3</v>
          </cell>
          <cell r="J241">
            <v>2.0025086344303378E-3</v>
          </cell>
          <cell r="K241">
            <v>2.4173271361313526E-3</v>
          </cell>
        </row>
        <row r="242">
          <cell r="B242" t="str">
            <v>RHES-SHSTG-CHPWOD</v>
          </cell>
          <cell r="C242" t="str">
            <v>VAR_fin</v>
          </cell>
          <cell r="D242" t="str">
            <v>AUX_RES-CHPWOD_IN</v>
          </cell>
          <cell r="I242">
            <v>4.7570508439625401E-3</v>
          </cell>
          <cell r="J242">
            <v>2.3624589219352361E-3</v>
          </cell>
          <cell r="K242">
            <v>2.69258666542728E-3</v>
          </cell>
        </row>
        <row r="243">
          <cell r="B243" t="str">
            <v>RHES-SHSTG-CHPWOD</v>
          </cell>
          <cell r="C243" t="str">
            <v>VAR_fin</v>
          </cell>
          <cell r="D243" t="str">
            <v>RHES_LTH_CHPWOD</v>
          </cell>
          <cell r="I243">
            <v>4.7570508439625401E-3</v>
          </cell>
          <cell r="J243">
            <v>2.3624589219352361E-3</v>
          </cell>
          <cell r="K243">
            <v>2.69258666542728E-3</v>
          </cell>
        </row>
        <row r="244">
          <cell r="B244" t="str">
            <v>RHES-SHSTG-CHPWOD</v>
          </cell>
          <cell r="C244" t="str">
            <v>VAR_ncap</v>
          </cell>
          <cell r="D244" t="str">
            <v>-</v>
          </cell>
          <cell r="I244">
            <v>4.14346461464009E-3</v>
          </cell>
          <cell r="J244">
            <v>2.6929323691738001E-4</v>
          </cell>
          <cell r="K244">
            <v>5.5539830768690202E-4</v>
          </cell>
        </row>
        <row r="245">
          <cell r="B245" t="str">
            <v>RHES-SHSTG-CHPWOD</v>
          </cell>
          <cell r="C245" t="str">
            <v>VAR_cap</v>
          </cell>
          <cell r="D245" t="str">
            <v>-</v>
          </cell>
          <cell r="I245">
            <v>5.1147139250556925E-3</v>
          </cell>
          <cell r="J245">
            <v>4.4487021474090109E-3</v>
          </cell>
          <cell r="K245">
            <v>2.478977630549742E-3</v>
          </cell>
        </row>
        <row r="246">
          <cell r="B246" t="str">
            <v>ESOL-PV_A</v>
          </cell>
          <cell r="C246" t="str">
            <v>VAR_fout</v>
          </cell>
          <cell r="D246" t="str">
            <v>ELC35</v>
          </cell>
          <cell r="I246">
            <v>1.2719505008868057</v>
          </cell>
          <cell r="J246">
            <v>3.5999961017237063</v>
          </cell>
          <cell r="K246">
            <v>10.799836728666238</v>
          </cell>
        </row>
        <row r="247">
          <cell r="B247" t="str">
            <v>ESOL-PV_A</v>
          </cell>
          <cell r="C247" t="str">
            <v>VAR_fin</v>
          </cell>
          <cell r="D247" t="str">
            <v>SOL</v>
          </cell>
          <cell r="I247">
            <v>1.2719505008868057</v>
          </cell>
          <cell r="J247">
            <v>3.5999961017237063</v>
          </cell>
          <cell r="K247">
            <v>10.799836728666238</v>
          </cell>
        </row>
        <row r="248">
          <cell r="B248" t="str">
            <v>ESOL-PV_A</v>
          </cell>
          <cell r="C248" t="str">
            <v>VAR_fin</v>
          </cell>
          <cell r="D248" t="str">
            <v>SOLPVC</v>
          </cell>
          <cell r="I248">
            <v>1.2719505008868</v>
          </cell>
          <cell r="J248">
            <v>3.5999961017237099</v>
          </cell>
          <cell r="K248">
            <v>10.7998367286662</v>
          </cell>
        </row>
        <row r="249">
          <cell r="B249" t="str">
            <v>ESOL-PV_A</v>
          </cell>
          <cell r="C249" t="str">
            <v>VAR_ncap</v>
          </cell>
          <cell r="D249" t="str">
            <v>-</v>
          </cell>
          <cell r="I249">
            <v>0.43728067260133602</v>
          </cell>
          <cell r="J249">
            <v>2.1295620776235999E-6</v>
          </cell>
          <cell r="K249">
            <v>1.79439331197908</v>
          </cell>
        </row>
        <row r="250">
          <cell r="B250" t="str">
            <v>ESOL-PV_A</v>
          </cell>
          <cell r="C250" t="str">
            <v>VAR_cap</v>
          </cell>
          <cell r="D250" t="str">
            <v>-</v>
          </cell>
          <cell r="I250">
            <v>0.19659648396703699</v>
          </cell>
          <cell r="J250">
            <v>0.55642549621520898</v>
          </cell>
          <cell r="K250">
            <v>1.66925283406384</v>
          </cell>
        </row>
        <row r="251">
          <cell r="B251" t="str">
            <v>G-INTC-IND</v>
          </cell>
          <cell r="C251" t="str">
            <v>VAR_fout</v>
          </cell>
          <cell r="D251" t="str">
            <v>ELC35</v>
          </cell>
          <cell r="I251">
            <v>4.8201925500090653E-3</v>
          </cell>
          <cell r="J251">
            <v>3.0642407971583404E-3</v>
          </cell>
          <cell r="K251">
            <v>2.3207679370856223E-3</v>
          </cell>
        </row>
        <row r="252">
          <cell r="B252" t="str">
            <v>G-INTC-IND</v>
          </cell>
          <cell r="C252" t="str">
            <v>VAR_fout</v>
          </cell>
          <cell r="D252" t="str">
            <v>ITOT_ELC</v>
          </cell>
          <cell r="I252">
            <v>60.524266388843216</v>
          </cell>
          <cell r="J252">
            <v>50.482333907979651</v>
          </cell>
          <cell r="K252">
            <v>51.287112606586589</v>
          </cell>
        </row>
        <row r="253">
          <cell r="B253" t="str">
            <v>G-INTC-IND</v>
          </cell>
          <cell r="C253" t="str">
            <v>VAR_fout</v>
          </cell>
          <cell r="D253" t="str">
            <v>ELC13</v>
          </cell>
          <cell r="I253">
            <v>3.4505997804481327E-3</v>
          </cell>
          <cell r="J253">
            <v>2.4294333359145067E-3</v>
          </cell>
          <cell r="K253">
            <v>2.2152083161604556E-3</v>
          </cell>
        </row>
        <row r="254">
          <cell r="B254" t="str">
            <v>G-INTC-IND</v>
          </cell>
          <cell r="C254" t="str">
            <v>VAR_fin</v>
          </cell>
          <cell r="D254" t="str">
            <v>ELC3</v>
          </cell>
          <cell r="I254">
            <v>60.511764761828431</v>
          </cell>
          <cell r="J254">
            <v>22.931425914628431</v>
          </cell>
          <cell r="K254">
            <v>23.146557056833842</v>
          </cell>
        </row>
        <row r="255">
          <cell r="B255" t="str">
            <v>G-INTC-IND</v>
          </cell>
          <cell r="C255" t="str">
            <v>VAR_fin</v>
          </cell>
          <cell r="D255" t="str">
            <v>ELC5</v>
          </cell>
          <cell r="I255">
            <v>2.0744224151853858E-2</v>
          </cell>
          <cell r="J255">
            <v>27.556401667484295</v>
          </cell>
          <cell r="K255">
            <v>28.145062432390159</v>
          </cell>
        </row>
        <row r="256">
          <cell r="B256" t="str">
            <v>G-INTC-IND</v>
          </cell>
          <cell r="C256" t="str">
            <v>VAR_ncap</v>
          </cell>
          <cell r="D256" t="str">
            <v>-</v>
          </cell>
          <cell r="I256">
            <v>4.71575300486267E-6</v>
          </cell>
          <cell r="J256">
            <v>4.0485721189865396E-6</v>
          </cell>
          <cell r="K256">
            <v>5.82264039647673E-6</v>
          </cell>
        </row>
        <row r="257">
          <cell r="B257" t="str">
            <v>G-INTC-IND</v>
          </cell>
          <cell r="C257" t="str">
            <v>VAR_cap</v>
          </cell>
          <cell r="D257" t="str">
            <v>-</v>
          </cell>
          <cell r="I257">
            <v>4.4927481297731475</v>
          </cell>
          <cell r="J257">
            <v>4.4927536592314876</v>
          </cell>
          <cell r="K257">
            <v>4.4927600670048866</v>
          </cell>
        </row>
        <row r="258">
          <cell r="B258" t="str">
            <v>D-IH2R</v>
          </cell>
          <cell r="C258" t="str">
            <v>VAR_fout</v>
          </cell>
          <cell r="D258" t="str">
            <v>IH2</v>
          </cell>
          <cell r="I258">
            <v>7.6644815936080057</v>
          </cell>
          <cell r="J258">
            <v>8.5681984691388831</v>
          </cell>
          <cell r="K258">
            <v>7.9506815965843574</v>
          </cell>
        </row>
        <row r="259">
          <cell r="B259" t="str">
            <v>D-IH2R</v>
          </cell>
          <cell r="C259" t="str">
            <v>VAR_fin</v>
          </cell>
          <cell r="D259" t="str">
            <v>H2</v>
          </cell>
          <cell r="I259">
            <v>7.6644815936080057</v>
          </cell>
          <cell r="J259">
            <v>8.5681984691388831</v>
          </cell>
          <cell r="K259">
            <v>7.9506815965843574</v>
          </cell>
        </row>
        <row r="260">
          <cell r="B260" t="str">
            <v>D-IH2R</v>
          </cell>
          <cell r="C260" t="str">
            <v>VAR_ncap</v>
          </cell>
          <cell r="D260" t="str">
            <v>-</v>
          </cell>
          <cell r="I260">
            <v>0.27013713074826401</v>
          </cell>
          <cell r="J260">
            <v>0.32571648201074599</v>
          </cell>
          <cell r="K260">
            <v>0.188199506249068</v>
          </cell>
        </row>
        <row r="261">
          <cell r="B261" t="str">
            <v>D-IH2R</v>
          </cell>
          <cell r="C261" t="str">
            <v>VAR_cap</v>
          </cell>
          <cell r="D261" t="str">
            <v>-</v>
          </cell>
          <cell r="I261">
            <v>0.27013796635632698</v>
          </cell>
          <cell r="J261">
            <v>0.37356369015310598</v>
          </cell>
          <cell r="K261">
            <v>0.29976432175257001</v>
          </cell>
        </row>
        <row r="262">
          <cell r="B262" t="str">
            <v>ESOL-PV_E</v>
          </cell>
          <cell r="C262" t="str">
            <v>VAR_fout</v>
          </cell>
          <cell r="D262" t="str">
            <v>CELC_E</v>
          </cell>
          <cell r="I262">
            <v>2.3864949044027112E-4</v>
          </cell>
          <cell r="J262">
            <v>15.786449355394417</v>
          </cell>
          <cell r="K262">
            <v>15.786448291670423</v>
          </cell>
        </row>
        <row r="263">
          <cell r="B263" t="str">
            <v>ESOL-PV_E</v>
          </cell>
          <cell r="C263" t="str">
            <v>VAR_fin</v>
          </cell>
          <cell r="D263" t="str">
            <v>SOL</v>
          </cell>
          <cell r="I263">
            <v>2.3864949044027112E-4</v>
          </cell>
          <cell r="J263">
            <v>15.786449355394417</v>
          </cell>
          <cell r="K263">
            <v>15.786448291670423</v>
          </cell>
        </row>
        <row r="264">
          <cell r="B264" t="str">
            <v>ESOL-PV_E</v>
          </cell>
          <cell r="C264" t="str">
            <v>VAR_fin</v>
          </cell>
          <cell r="D264" t="str">
            <v>SOLPVC</v>
          </cell>
          <cell r="I264">
            <v>2.3864949044027101E-4</v>
          </cell>
          <cell r="J264">
            <v>15.786449355394399</v>
          </cell>
          <cell r="K264">
            <v>15.7864482916704</v>
          </cell>
        </row>
        <row r="265">
          <cell r="B265" t="str">
            <v>ESOL-PV_E</v>
          </cell>
          <cell r="C265" t="str">
            <v>VAR_ncap</v>
          </cell>
          <cell r="D265" t="str">
            <v>-</v>
          </cell>
          <cell r="I265">
            <v>2.26929277719273E-5</v>
          </cell>
          <cell r="J265">
            <v>4.5507046198701699</v>
          </cell>
          <cell r="K265">
            <v>1.0598971870829401E-6</v>
          </cell>
        </row>
        <row r="266">
          <cell r="B266" t="str">
            <v>ESOL-PV_E</v>
          </cell>
          <cell r="C266" t="str">
            <v>VAR_cap</v>
          </cell>
          <cell r="D266" t="str">
            <v>-</v>
          </cell>
          <cell r="I266">
            <v>6.8797771978074793E-5</v>
          </cell>
          <cell r="J266">
            <v>4.5507734176421497</v>
          </cell>
          <cell r="K266">
            <v>4.5507744775393304</v>
          </cell>
        </row>
        <row r="267">
          <cell r="B267" t="str">
            <v>EWSTINC</v>
          </cell>
          <cell r="C267" t="str">
            <v>VAR_fout</v>
          </cell>
          <cell r="D267" t="str">
            <v>ELC35</v>
          </cell>
          <cell r="I267">
            <v>7.4918634968652693</v>
          </cell>
          <cell r="J267">
            <v>5.685049560882022</v>
          </cell>
          <cell r="K267">
            <v>3.5005416907805571E-3</v>
          </cell>
        </row>
        <row r="268">
          <cell r="B268" t="str">
            <v>EWSTINC</v>
          </cell>
          <cell r="C268" t="str">
            <v>VAR_fout</v>
          </cell>
          <cell r="D268" t="str">
            <v>CO2_E</v>
          </cell>
          <cell r="I268">
            <v>1944.9752626034201</v>
          </cell>
          <cell r="J268">
            <v>1475.90526271822</v>
          </cell>
          <cell r="K268">
            <v>0.90878150638074495</v>
          </cell>
        </row>
        <row r="269">
          <cell r="B269" t="str">
            <v>EWSTINC</v>
          </cell>
          <cell r="C269" t="str">
            <v>VAR_fin</v>
          </cell>
          <cell r="D269" t="str">
            <v>EWST</v>
          </cell>
          <cell r="I269">
            <v>20.958785157364463</v>
          </cell>
          <cell r="J269">
            <v>15.904151537911826</v>
          </cell>
          <cell r="K269">
            <v>9.7929041635856119E-3</v>
          </cell>
        </row>
        <row r="270">
          <cell r="B270" t="str">
            <v>EWSTINC</v>
          </cell>
          <cell r="C270" t="str">
            <v>VAR_ncap</v>
          </cell>
          <cell r="D270" t="str">
            <v>-</v>
          </cell>
          <cell r="I270">
            <v>7.5364937576352306E-2</v>
          </cell>
          <cell r="J270">
            <v>1.24672168458204E-7</v>
          </cell>
          <cell r="K270">
            <v>7.4410029961262304E-8</v>
          </cell>
        </row>
        <row r="271">
          <cell r="B271" t="str">
            <v>EWSTINC</v>
          </cell>
          <cell r="C271" t="str">
            <v>VAR_cap</v>
          </cell>
          <cell r="D271" t="str">
            <v>-</v>
          </cell>
          <cell r="I271">
            <v>0.2794889747117914</v>
          </cell>
          <cell r="J271">
            <v>0.2350021398945242</v>
          </cell>
          <cell r="K271">
            <v>2.158460768567072E-4</v>
          </cell>
        </row>
        <row r="272">
          <cell r="B272" t="str">
            <v>D-IBIO</v>
          </cell>
          <cell r="C272" t="str">
            <v>VAR_fout</v>
          </cell>
          <cell r="D272" t="str">
            <v>IBIO</v>
          </cell>
          <cell r="I272">
            <v>3.2330110126823568</v>
          </cell>
          <cell r="J272">
            <v>3.2330152617170298</v>
          </cell>
          <cell r="K272">
            <v>3.9012376624904341</v>
          </cell>
        </row>
        <row r="273">
          <cell r="B273" t="str">
            <v>D-IBIO</v>
          </cell>
          <cell r="C273" t="str">
            <v>VAR_fin</v>
          </cell>
          <cell r="D273" t="str">
            <v>BIO</v>
          </cell>
          <cell r="I273">
            <v>3.2330110126823568</v>
          </cell>
          <cell r="J273">
            <v>3.2330152617170298</v>
          </cell>
          <cell r="K273">
            <v>3.9012376624904341</v>
          </cell>
        </row>
        <row r="274">
          <cell r="B274" t="str">
            <v>D-EWOD</v>
          </cell>
          <cell r="C274" t="str">
            <v>VAR_fout</v>
          </cell>
          <cell r="D274" t="str">
            <v>EWOD</v>
          </cell>
          <cell r="I274">
            <v>5.5745649092655372</v>
          </cell>
          <cell r="J274">
            <v>5.6113183736971264</v>
          </cell>
          <cell r="K274">
            <v>10.684975245886752</v>
          </cell>
        </row>
        <row r="275">
          <cell r="B275" t="str">
            <v>D-EWOD</v>
          </cell>
          <cell r="C275" t="str">
            <v>VAR_fin</v>
          </cell>
          <cell r="D275" t="str">
            <v>WOD</v>
          </cell>
          <cell r="I275">
            <v>5.5745649092655372</v>
          </cell>
          <cell r="J275">
            <v>5.6113183736971264</v>
          </cell>
          <cell r="K275">
            <v>10.684975245886752</v>
          </cell>
        </row>
        <row r="276">
          <cell r="B276" t="str">
            <v>HPLWOD</v>
          </cell>
          <cell r="C276" t="str">
            <v>VAR_fout</v>
          </cell>
          <cell r="D276" t="str">
            <v>LTH</v>
          </cell>
          <cell r="I276">
            <v>2.0857467254498951</v>
          </cell>
          <cell r="J276">
            <v>1.7468665997262292</v>
          </cell>
          <cell r="K276">
            <v>2.1699477404381367</v>
          </cell>
        </row>
        <row r="277">
          <cell r="B277" t="str">
            <v>HPLWOD</v>
          </cell>
          <cell r="C277" t="str">
            <v>VAR_fin</v>
          </cell>
          <cell r="D277" t="str">
            <v>EWOD</v>
          </cell>
          <cell r="I277">
            <v>2.9796381792141382</v>
          </cell>
          <cell r="J277">
            <v>2.4955237138946149</v>
          </cell>
          <cell r="K277">
            <v>3.0999253434830516</v>
          </cell>
        </row>
        <row r="278">
          <cell r="B278" t="str">
            <v>HPLWOD</v>
          </cell>
          <cell r="C278" t="str">
            <v>VAR_ncap</v>
          </cell>
          <cell r="D278" t="str">
            <v>-</v>
          </cell>
          <cell r="I278">
            <v>1.51063019907758E-5</v>
          </cell>
          <cell r="J278">
            <v>0.11213265453320601</v>
          </cell>
          <cell r="K278">
            <v>0.20591307343065701</v>
          </cell>
        </row>
        <row r="279">
          <cell r="B279" t="str">
            <v>HPLWOD</v>
          </cell>
          <cell r="C279" t="str">
            <v>VAR_cap</v>
          </cell>
          <cell r="D279" t="str">
            <v>-</v>
          </cell>
          <cell r="I279">
            <v>0.31241435679670099</v>
          </cell>
          <cell r="J279">
            <v>0.22173315530994001</v>
          </cell>
          <cell r="K279">
            <v>0.31816395077854098</v>
          </cell>
        </row>
        <row r="280">
          <cell r="B280" t="str">
            <v>ENGA-GTCC</v>
          </cell>
          <cell r="C280" t="str">
            <v>VAR_fout</v>
          </cell>
          <cell r="D280" t="str">
            <v>ELC13</v>
          </cell>
          <cell r="I280"/>
          <cell r="J280">
            <v>1.7287996758250911E-5</v>
          </cell>
          <cell r="K280">
            <v>6.345956581510148E-3</v>
          </cell>
        </row>
        <row r="281">
          <cell r="B281" t="str">
            <v>ENGA-GTCC</v>
          </cell>
          <cell r="C281" t="str">
            <v>VAR_fout</v>
          </cell>
          <cell r="D281" t="str">
            <v>CO2_E</v>
          </cell>
          <cell r="I281"/>
          <cell r="J281">
            <v>1.81394310843134E-3</v>
          </cell>
          <cell r="K281">
            <v>0.60785489784513802</v>
          </cell>
        </row>
        <row r="282">
          <cell r="B282" t="str">
            <v>ENGA-GTCC</v>
          </cell>
          <cell r="C282" t="str">
            <v>VAR_fin</v>
          </cell>
          <cell r="D282" t="str">
            <v>ENGA</v>
          </cell>
          <cell r="I282"/>
          <cell r="J282">
            <v>3.2162111851619582E-5</v>
          </cell>
          <cell r="K282">
            <v>1.0777569110729393E-2</v>
          </cell>
        </row>
        <row r="283">
          <cell r="B283" t="str">
            <v>ENGA-GTCC</v>
          </cell>
          <cell r="C283" t="str">
            <v>VAR_fin</v>
          </cell>
          <cell r="D283" t="str">
            <v>GTC</v>
          </cell>
          <cell r="I283"/>
          <cell r="J283">
            <v>5.9172168763437798E-6</v>
          </cell>
          <cell r="K283">
            <v>7.0061401900301434E-4</v>
          </cell>
        </row>
        <row r="284">
          <cell r="B284" t="str">
            <v>ENGA-GTCC</v>
          </cell>
          <cell r="C284" t="str">
            <v>VAR_ncap</v>
          </cell>
          <cell r="D284" t="str">
            <v>-</v>
          </cell>
          <cell r="I284"/>
          <cell r="J284">
            <v>1.22894122770338E-5</v>
          </cell>
          <cell r="K284">
            <v>9.3078750547020701E-4</v>
          </cell>
        </row>
        <row r="285">
          <cell r="B285" t="str">
            <v>ENGA-GTCC</v>
          </cell>
          <cell r="C285" t="str">
            <v>VAR_cap</v>
          </cell>
          <cell r="D285" t="str">
            <v>-</v>
          </cell>
          <cell r="I285"/>
          <cell r="J285">
            <v>5.9172168763437798E-6</v>
          </cell>
          <cell r="K285">
            <v>7.0061401900301456E-4</v>
          </cell>
        </row>
        <row r="286">
          <cell r="B286" t="str">
            <v>D-SNGA</v>
          </cell>
          <cell r="C286" t="str">
            <v>VAR_fout</v>
          </cell>
          <cell r="D286" t="str">
            <v>CO2</v>
          </cell>
          <cell r="I286">
            <v>837.10909727782496</v>
          </cell>
          <cell r="J286">
            <v>517.06707850147097</v>
          </cell>
          <cell r="K286">
            <v>255.70157059548001</v>
          </cell>
        </row>
        <row r="287">
          <cell r="B287" t="str">
            <v>D-SNGA</v>
          </cell>
          <cell r="C287" t="str">
            <v>VAR_fout</v>
          </cell>
          <cell r="D287" t="str">
            <v>SNGA</v>
          </cell>
          <cell r="I287">
            <v>15.459090050337572</v>
          </cell>
          <cell r="J287">
            <v>11.130293139556313</v>
          </cell>
          <cell r="K287">
            <v>7.1728447457327373</v>
          </cell>
        </row>
        <row r="288">
          <cell r="B288" t="str">
            <v>D-SNGA</v>
          </cell>
          <cell r="C288" t="str">
            <v>VAR_fout</v>
          </cell>
          <cell r="D288" t="str">
            <v>RSH2</v>
          </cell>
          <cell r="I288">
            <v>4.4490477181038301E-3</v>
          </cell>
          <cell r="J288">
            <v>4.8625584838947345E-3</v>
          </cell>
          <cell r="K288">
            <v>5.3970397246737795E-3</v>
          </cell>
        </row>
        <row r="289">
          <cell r="B289" t="str">
            <v>D-SNGA</v>
          </cell>
          <cell r="C289" t="str">
            <v>VAR_fin</v>
          </cell>
          <cell r="D289" t="str">
            <v>NGA</v>
          </cell>
          <cell r="I289">
            <v>14.842359880812511</v>
          </cell>
          <cell r="J289">
            <v>9.1678560017991195</v>
          </cell>
          <cell r="K289">
            <v>4.533715790699997</v>
          </cell>
        </row>
        <row r="290">
          <cell r="B290" t="str">
            <v>D-SNGA</v>
          </cell>
          <cell r="C290" t="str">
            <v>VAR_fin</v>
          </cell>
          <cell r="D290" t="str">
            <v>BNGA</v>
          </cell>
          <cell r="I290">
            <v>0.66614973737096628</v>
          </cell>
          <cell r="J290">
            <v>1.9980288423412098</v>
          </cell>
          <cell r="K290">
            <v>2.6622672567867793</v>
          </cell>
        </row>
        <row r="291">
          <cell r="B291" t="str">
            <v>D-SNGA</v>
          </cell>
          <cell r="C291" t="str">
            <v>VAR_fin</v>
          </cell>
          <cell r="D291" t="str">
            <v>H2</v>
          </cell>
          <cell r="I291">
            <v>4.4454962560330673E-3</v>
          </cell>
          <cell r="J291">
            <v>4.8535481917320574E-3</v>
          </cell>
          <cell r="K291">
            <v>5.3892722596744283E-3</v>
          </cell>
        </row>
        <row r="292">
          <cell r="B292" t="str">
            <v>D-SNGA</v>
          </cell>
          <cell r="C292" t="str">
            <v>VAR_ncap</v>
          </cell>
          <cell r="D292" t="str">
            <v>-</v>
          </cell>
          <cell r="I292">
            <v>8.30986230407044E-7</v>
          </cell>
          <cell r="J292">
            <v>8.1439341736749904E-7</v>
          </cell>
          <cell r="K292">
            <v>1.85721600076449E-6</v>
          </cell>
        </row>
        <row r="293">
          <cell r="B293" t="str">
            <v>D-SNGA</v>
          </cell>
          <cell r="C293" t="str">
            <v>VAR_cap</v>
          </cell>
          <cell r="D293" t="str">
            <v>-</v>
          </cell>
          <cell r="I293">
            <v>2.2350561961706177</v>
          </cell>
          <cell r="J293">
            <v>2.2350570105640348</v>
          </cell>
          <cell r="K293">
            <v>1.1208971686437557</v>
          </cell>
        </row>
        <row r="294">
          <cell r="B294" t="str">
            <v>RHES-CHPWOD</v>
          </cell>
          <cell r="C294" t="str">
            <v>VAR_fout</v>
          </cell>
          <cell r="D294" t="str">
            <v>RHES_KEV_WOD_ELC_CHP</v>
          </cell>
          <cell r="I294">
            <v>2.1970961259562909E-3</v>
          </cell>
          <cell r="J294">
            <v>2.4055440313644201E-3</v>
          </cell>
          <cell r="K294">
            <v>9.3719852763914666E-4</v>
          </cell>
        </row>
        <row r="295">
          <cell r="B295" t="str">
            <v>RHES-CHPWOD</v>
          </cell>
          <cell r="C295" t="str">
            <v>VAR_fout</v>
          </cell>
          <cell r="D295" t="str">
            <v>RHES_LTH_CHPWOD</v>
          </cell>
          <cell r="I295">
            <v>5.808664342651872E-3</v>
          </cell>
          <cell r="J295">
            <v>6.2255850775545319E-3</v>
          </cell>
          <cell r="K295">
            <v>2.3292348780421593E-3</v>
          </cell>
        </row>
        <row r="296">
          <cell r="B296" t="str">
            <v>RHES-CHPWOD</v>
          </cell>
          <cell r="C296" t="str">
            <v>VAR_fin</v>
          </cell>
          <cell r="D296" t="str">
            <v>RWOD</v>
          </cell>
          <cell r="I296">
            <v>1.0944086613615954E-2</v>
          </cell>
          <cell r="J296">
            <v>1.0420440688680994E-2</v>
          </cell>
          <cell r="K296">
            <v>4.2413385552786216E-3</v>
          </cell>
        </row>
        <row r="297">
          <cell r="B297" t="str">
            <v>RHES-CHPWOD</v>
          </cell>
          <cell r="C297" t="str">
            <v>VAR_ncap</v>
          </cell>
          <cell r="D297" t="str">
            <v>-</v>
          </cell>
          <cell r="I297">
            <v>1.10535081326945E-4</v>
          </cell>
          <cell r="J297">
            <v>4.5387557620600103E-5</v>
          </cell>
          <cell r="K297">
            <v>3.59996330562671E-6</v>
          </cell>
        </row>
        <row r="298">
          <cell r="B298" t="str">
            <v>RHES-CHPWOD</v>
          </cell>
          <cell r="C298" t="str">
            <v>VAR_cap</v>
          </cell>
          <cell r="D298" t="str">
            <v>-</v>
          </cell>
          <cell r="I298">
            <v>1.9537774006951714E-4</v>
          </cell>
          <cell r="J298">
            <v>2.137880319212348E-4</v>
          </cell>
          <cell r="K298">
            <v>8.3221633774791391E-5</v>
          </cell>
        </row>
        <row r="299">
          <cell r="B299" t="str">
            <v>G-INTC-RES</v>
          </cell>
          <cell r="C299" t="str">
            <v>VAR_fout</v>
          </cell>
          <cell r="D299" t="str">
            <v>RHNS_ELC</v>
          </cell>
          <cell r="I299">
            <v>11.098198616092583</v>
          </cell>
          <cell r="J299">
            <v>9.0756452576889313</v>
          </cell>
          <cell r="K299">
            <v>7.7786804216278895</v>
          </cell>
        </row>
        <row r="300">
          <cell r="B300" t="str">
            <v>G-INTC-RES</v>
          </cell>
          <cell r="C300" t="str">
            <v>VAR_fout</v>
          </cell>
          <cell r="D300" t="str">
            <v>ELC35</v>
          </cell>
          <cell r="I300">
            <v>3.0020578904775851E-3</v>
          </cell>
          <cell r="J300">
            <v>0.543710905329716</v>
          </cell>
          <cell r="K300">
            <v>0.53705475280403847</v>
          </cell>
        </row>
        <row r="301">
          <cell r="B301" t="str">
            <v>G-INTC-RES</v>
          </cell>
          <cell r="C301" t="str">
            <v>VAR_fout</v>
          </cell>
          <cell r="D301" t="str">
            <v>RHES_ELC</v>
          </cell>
          <cell r="I301">
            <v>15.303579067091311</v>
          </cell>
          <cell r="J301">
            <v>12.90728390238027</v>
          </cell>
          <cell r="K301">
            <v>10.725919409320106</v>
          </cell>
        </row>
        <row r="302">
          <cell r="B302" t="str">
            <v>G-INTC-RES</v>
          </cell>
          <cell r="C302" t="str">
            <v>VAR_fout</v>
          </cell>
          <cell r="D302" t="str">
            <v>RHNM_ELC</v>
          </cell>
          <cell r="I302">
            <v>11.972600105437436</v>
          </cell>
          <cell r="J302">
            <v>8.992334224325278</v>
          </cell>
          <cell r="K302">
            <v>7.7876552195508495</v>
          </cell>
        </row>
        <row r="303">
          <cell r="B303" t="str">
            <v>G-INTC-RES</v>
          </cell>
          <cell r="C303" t="str">
            <v>VAR_fout</v>
          </cell>
          <cell r="D303" t="str">
            <v>RHEM_ELC</v>
          </cell>
          <cell r="I303">
            <v>14.443135897629672</v>
          </cell>
          <cell r="J303">
            <v>10.999572806786563</v>
          </cell>
          <cell r="K303">
            <v>9.5811649830791765</v>
          </cell>
        </row>
        <row r="304">
          <cell r="B304" t="str">
            <v>G-INTC-RES</v>
          </cell>
          <cell r="C304" t="str">
            <v>VAR_fin</v>
          </cell>
          <cell r="D304" t="str">
            <v>ELC5</v>
          </cell>
          <cell r="I304">
            <v>52.82051574414146</v>
          </cell>
          <cell r="J304">
            <v>42.518512184648174</v>
          </cell>
          <cell r="K304">
            <v>36.410442178122366</v>
          </cell>
        </row>
        <row r="305">
          <cell r="B305" t="str">
            <v>G-INTC-RES</v>
          </cell>
          <cell r="C305" t="str">
            <v>VAR_ncap</v>
          </cell>
          <cell r="D305" t="str">
            <v>-</v>
          </cell>
          <cell r="I305">
            <v>2.8004095705864098E-7</v>
          </cell>
          <cell r="J305">
            <v>3.6414892100741698E-7</v>
          </cell>
          <cell r="K305">
            <v>5.1827316561369299E-7</v>
          </cell>
        </row>
        <row r="306">
          <cell r="B306" t="str">
            <v>G-INTC-RES</v>
          </cell>
          <cell r="C306" t="str">
            <v>VAR_cap</v>
          </cell>
          <cell r="D306" t="str">
            <v>-</v>
          </cell>
          <cell r="I306">
            <v>4.3300932891608177</v>
          </cell>
          <cell r="J306">
            <v>4.3300936770966079</v>
          </cell>
          <cell r="K306">
            <v>4.3300942494153087</v>
          </cell>
        </row>
        <row r="307">
          <cell r="B307" t="str">
            <v>SCOM-CHPNGA</v>
          </cell>
          <cell r="C307" t="str">
            <v>VAR_fout</v>
          </cell>
          <cell r="D307" t="str">
            <v>CO2_S</v>
          </cell>
          <cell r="I307">
            <v>1.61269044244104</v>
          </cell>
          <cell r="J307">
            <v>0.27639744404623301</v>
          </cell>
          <cell r="K307"/>
        </row>
        <row r="308">
          <cell r="B308" t="str">
            <v>SCOM-CHPNGA</v>
          </cell>
          <cell r="C308" t="str">
            <v>VAR_fout</v>
          </cell>
          <cell r="D308" t="str">
            <v>SCOM_NKEV_GAS_ELC_CHP</v>
          </cell>
          <cell r="I308">
            <v>8.8820192954629264E-3</v>
          </cell>
          <cell r="J308">
            <v>1.622857193589763E-3</v>
          </cell>
          <cell r="K308"/>
        </row>
        <row r="309">
          <cell r="B309" t="str">
            <v>SCOM-CHPNGA</v>
          </cell>
          <cell r="C309" t="str">
            <v>VAR_fout</v>
          </cell>
          <cell r="D309" t="str">
            <v>SCOM_LTH_CHPNGA</v>
          </cell>
          <cell r="I309">
            <v>1.2579543615808549E-2</v>
          </cell>
          <cell r="J309">
            <v>2.4342857903846419E-3</v>
          </cell>
          <cell r="K309"/>
        </row>
        <row r="310">
          <cell r="B310" t="str">
            <v>SCOM-CHPNGA</v>
          </cell>
          <cell r="C310" t="str">
            <v>VAR_fin</v>
          </cell>
          <cell r="D310" t="str">
            <v>SNGA</v>
          </cell>
          <cell r="I310">
            <v>2.8593802170940374E-2</v>
          </cell>
          <cell r="J310">
            <v>4.9006639015289535E-3</v>
          </cell>
          <cell r="K310"/>
        </row>
        <row r="311">
          <cell r="B311" t="str">
            <v>SCOM-CHPNGA</v>
          </cell>
          <cell r="C311" t="str">
            <v>VAR_ncap</v>
          </cell>
          <cell r="D311" t="str">
            <v>-</v>
          </cell>
          <cell r="I311"/>
          <cell r="J311"/>
          <cell r="K311"/>
        </row>
        <row r="312">
          <cell r="B312" t="str">
            <v>SCOM-CHPNGA</v>
          </cell>
          <cell r="C312" t="str">
            <v>VAR_cap</v>
          </cell>
          <cell r="D312" t="str">
            <v>-</v>
          </cell>
          <cell r="I312">
            <v>5.2112454396993982E-4</v>
          </cell>
          <cell r="J312">
            <v>2.630637273297997E-4</v>
          </cell>
          <cell r="K312"/>
        </row>
        <row r="313">
          <cell r="B313" t="str">
            <v>D-IPLT</v>
          </cell>
          <cell r="C313" t="str">
            <v>VAR_fout</v>
          </cell>
          <cell r="D313" t="str">
            <v>IPLT</v>
          </cell>
          <cell r="I313">
            <v>0.73445859728159224</v>
          </cell>
          <cell r="J313">
            <v>0.73241398124465429</v>
          </cell>
          <cell r="K313">
            <v>0.72836896476980884</v>
          </cell>
        </row>
        <row r="314">
          <cell r="B314" t="str">
            <v>D-IPLT</v>
          </cell>
          <cell r="C314" t="str">
            <v>VAR_fin</v>
          </cell>
          <cell r="D314" t="str">
            <v>PLT</v>
          </cell>
          <cell r="I314">
            <v>0.73445859728159224</v>
          </cell>
          <cell r="J314">
            <v>0.73241398124465429</v>
          </cell>
          <cell r="K314">
            <v>0.72836896476980884</v>
          </cell>
        </row>
        <row r="315">
          <cell r="B315" t="str">
            <v>LTH-STG</v>
          </cell>
          <cell r="C315" t="str">
            <v>VAR_fout</v>
          </cell>
          <cell r="D315" t="str">
            <v>AUX_LTH-STG_OUT</v>
          </cell>
          <cell r="I315">
            <v>3.8282158934422245E-3</v>
          </cell>
          <cell r="J315">
            <v>2.7667877736020944E-3</v>
          </cell>
          <cell r="K315">
            <v>0.48750712555670078</v>
          </cell>
        </row>
        <row r="316">
          <cell r="B316" t="str">
            <v>LTH-STG</v>
          </cell>
          <cell r="C316" t="str">
            <v>VAR_fout</v>
          </cell>
          <cell r="D316" t="str">
            <v>LTH</v>
          </cell>
          <cell r="I316">
            <v>3.8317344742266326E-3</v>
          </cell>
          <cell r="J316">
            <v>2.7667877736020836E-3</v>
          </cell>
          <cell r="K316">
            <v>0.48750712555670023</v>
          </cell>
        </row>
        <row r="317">
          <cell r="B317" t="str">
            <v>LTH-STG</v>
          </cell>
          <cell r="C317" t="str">
            <v>VAR_fin</v>
          </cell>
          <cell r="D317" t="str">
            <v>AUX_LTH-STG_IN</v>
          </cell>
          <cell r="I317">
            <v>4.6490665391621987E-3</v>
          </cell>
          <cell r="J317">
            <v>3.257330184294745E-3</v>
          </cell>
          <cell r="K317">
            <v>0.54167631130997729</v>
          </cell>
        </row>
        <row r="318">
          <cell r="B318" t="str">
            <v>LTH-STG</v>
          </cell>
          <cell r="C318" t="str">
            <v>VAR_fin</v>
          </cell>
          <cell r="D318" t="str">
            <v>LTH</v>
          </cell>
          <cell r="I318">
            <v>4.6490665391621987E-3</v>
          </cell>
          <cell r="J318">
            <v>3.257330184294745E-3</v>
          </cell>
          <cell r="K318">
            <v>0.54167631130997729</v>
          </cell>
        </row>
        <row r="319">
          <cell r="B319" t="str">
            <v>LTH-STG</v>
          </cell>
          <cell r="C319" t="str">
            <v>VAR_ncap</v>
          </cell>
          <cell r="D319" t="str">
            <v>-</v>
          </cell>
          <cell r="I319">
            <v>4.9109277947703502E-5</v>
          </cell>
          <cell r="J319">
            <v>2.3906473750074099E-4</v>
          </cell>
          <cell r="K319">
            <v>4.6503233494290599E-2</v>
          </cell>
        </row>
        <row r="320">
          <cell r="B320" t="str">
            <v>LTH-STG</v>
          </cell>
          <cell r="C320" t="str">
            <v>VAR_cap</v>
          </cell>
          <cell r="D320" t="str">
            <v>-</v>
          </cell>
          <cell r="I320">
            <v>4.8058604793613046E-4</v>
          </cell>
          <cell r="J320">
            <v>4.368092010231374E-4</v>
          </cell>
          <cell r="K320">
            <v>4.6778528765923443E-2</v>
          </cell>
        </row>
        <row r="321">
          <cell r="B321" t="str">
            <v>ITOT-CHPOIL</v>
          </cell>
          <cell r="C321" t="str">
            <v>VAR_fout</v>
          </cell>
          <cell r="D321" t="str">
            <v>ITOT_LTH_CHP</v>
          </cell>
          <cell r="I321">
            <v>0.8123314826623691</v>
          </cell>
          <cell r="J321"/>
          <cell r="K321"/>
        </row>
        <row r="322">
          <cell r="B322" t="str">
            <v>ITOT-CHPOIL</v>
          </cell>
          <cell r="C322" t="str">
            <v>VAR_fout</v>
          </cell>
          <cell r="D322" t="str">
            <v>ITOT_NKEV_OIL_ELC_CHP</v>
          </cell>
          <cell r="I322">
            <v>0.16384275531872286</v>
          </cell>
          <cell r="J322"/>
          <cell r="K322"/>
        </row>
        <row r="323">
          <cell r="B323" t="str">
            <v>ITOT-CHPOIL</v>
          </cell>
          <cell r="C323" t="str">
            <v>VAR_fout</v>
          </cell>
          <cell r="D323" t="str">
            <v>CO2_I</v>
          </cell>
          <cell r="I323">
            <v>45.949315891338401</v>
          </cell>
          <cell r="J323"/>
          <cell r="K323"/>
        </row>
        <row r="324">
          <cell r="B324" t="str">
            <v>ITOT-CHPOIL</v>
          </cell>
          <cell r="C324" t="str">
            <v>VAR_fin</v>
          </cell>
          <cell r="D324" t="str">
            <v>ILFO</v>
          </cell>
          <cell r="I324">
            <v>0.62346425904122649</v>
          </cell>
          <cell r="J324"/>
          <cell r="K324"/>
        </row>
        <row r="325">
          <cell r="B325" t="str">
            <v>ITOT-CHPOIL</v>
          </cell>
          <cell r="C325" t="str">
            <v>VAR_ncap</v>
          </cell>
          <cell r="D325" t="str">
            <v>-</v>
          </cell>
          <cell r="I325"/>
          <cell r="J325"/>
          <cell r="K325"/>
        </row>
        <row r="326">
          <cell r="B326" t="str">
            <v>ITOT-CHPOIL</v>
          </cell>
          <cell r="C326" t="str">
            <v>VAR_cap</v>
          </cell>
          <cell r="D326" t="str">
            <v>-</v>
          </cell>
          <cell r="I326">
            <v>1.1087377497244137E-2</v>
          </cell>
          <cell r="J326"/>
          <cell r="K326"/>
        </row>
        <row r="327">
          <cell r="B327" t="str">
            <v>ENUC_GOE</v>
          </cell>
          <cell r="C327" t="str">
            <v>VAR_fout</v>
          </cell>
          <cell r="D327" t="str">
            <v>ELC</v>
          </cell>
          <cell r="I327">
            <v>22.558638544226152</v>
          </cell>
          <cell r="J327"/>
          <cell r="K327"/>
        </row>
        <row r="328">
          <cell r="B328" t="str">
            <v>ENUC_GOE</v>
          </cell>
          <cell r="C328" t="str">
            <v>VAR_fin</v>
          </cell>
          <cell r="D328" t="str">
            <v>URN</v>
          </cell>
          <cell r="I328">
            <v>68.007963142057903</v>
          </cell>
          <cell r="J328"/>
          <cell r="K328"/>
        </row>
        <row r="329">
          <cell r="B329" t="str">
            <v>ENUC_GOE</v>
          </cell>
          <cell r="C329" t="str">
            <v>VAR_cap</v>
          </cell>
          <cell r="D329" t="str">
            <v>-</v>
          </cell>
          <cell r="I329">
            <v>0.76677399495379195</v>
          </cell>
          <cell r="J329"/>
          <cell r="K329"/>
        </row>
        <row r="330">
          <cell r="B330" t="str">
            <v>D-RNGA</v>
          </cell>
          <cell r="C330" t="str">
            <v>VAR_fout</v>
          </cell>
          <cell r="D330" t="str">
            <v>CO2</v>
          </cell>
          <cell r="I330">
            <v>1684.2005233356001</v>
          </cell>
          <cell r="J330">
            <v>1024.0639060777301</v>
          </cell>
          <cell r="K330">
            <v>626.42883454590196</v>
          </cell>
        </row>
        <row r="331">
          <cell r="B331" t="str">
            <v>D-RNGA</v>
          </cell>
          <cell r="C331" t="str">
            <v>VAR_fout</v>
          </cell>
          <cell r="D331" t="str">
            <v>RNGA</v>
          </cell>
          <cell r="I331">
            <v>30.694444427352025</v>
          </cell>
          <cell r="J331">
            <v>22.148332288863628</v>
          </cell>
          <cell r="K331">
            <v>15.210140615551424</v>
          </cell>
        </row>
        <row r="332">
          <cell r="B332" t="str">
            <v>D-RNGA</v>
          </cell>
          <cell r="C332" t="str">
            <v>VAR_fout</v>
          </cell>
          <cell r="D332" t="str">
            <v>RSH2</v>
          </cell>
          <cell r="I332">
            <v>8.8290602897651092E-3</v>
          </cell>
          <cell r="J332">
            <v>1.4018382442630569E-2</v>
          </cell>
          <cell r="K332">
            <v>1.8257730251446929E-2</v>
          </cell>
        </row>
        <row r="333">
          <cell r="B333" t="str">
            <v>D-RNGA</v>
          </cell>
          <cell r="C333" t="str">
            <v>VAR_fin</v>
          </cell>
          <cell r="D333" t="str">
            <v>NGA</v>
          </cell>
          <cell r="I333">
            <v>29.861711406659555</v>
          </cell>
          <cell r="J333">
            <v>18.157161455278818</v>
          </cell>
          <cell r="K333">
            <v>11.106894229537261</v>
          </cell>
        </row>
        <row r="334">
          <cell r="B334" t="str">
            <v>D-RNGA</v>
          </cell>
          <cell r="C334" t="str">
            <v>VAR_fin</v>
          </cell>
          <cell r="D334" t="str">
            <v>BNGA</v>
          </cell>
          <cell r="I334">
            <v>0.93085421817048108</v>
          </cell>
          <cell r="J334">
            <v>4.0619968957623582</v>
          </cell>
          <cell r="K334">
            <v>4.1521153231965195</v>
          </cell>
        </row>
        <row r="335">
          <cell r="B335" t="str">
            <v>D-RNGA</v>
          </cell>
          <cell r="C335" t="str">
            <v>VAR_fin</v>
          </cell>
          <cell r="D335" t="str">
            <v>H2</v>
          </cell>
          <cell r="I335">
            <v>8.8255088276487422E-3</v>
          </cell>
          <cell r="J335">
            <v>1.4015798024678448E-2</v>
          </cell>
          <cell r="K335">
            <v>1.825134179455979E-2</v>
          </cell>
        </row>
        <row r="336">
          <cell r="B336" t="str">
            <v>D-RNGA</v>
          </cell>
          <cell r="C336" t="str">
            <v>VAR_ncap</v>
          </cell>
          <cell r="D336" t="str">
            <v>-</v>
          </cell>
          <cell r="I336">
            <v>2.9782252756595699E-7</v>
          </cell>
          <cell r="J336">
            <v>3.7639837320914401E-7</v>
          </cell>
          <cell r="K336">
            <v>6.4722718670849104E-7</v>
          </cell>
        </row>
        <row r="337">
          <cell r="B337" t="str">
            <v>D-RNGA</v>
          </cell>
          <cell r="C337" t="str">
            <v>VAR_cap</v>
          </cell>
          <cell r="D337" t="str">
            <v>-</v>
          </cell>
          <cell r="I337">
            <v>3.0972414346439878</v>
          </cell>
          <cell r="J337">
            <v>3.0972418110423612</v>
          </cell>
          <cell r="K337">
            <v>1.5532846989098479</v>
          </cell>
        </row>
        <row r="338">
          <cell r="B338" t="str">
            <v>ITOT-CHPHFC</v>
          </cell>
          <cell r="C338" t="str">
            <v>VAR_fout</v>
          </cell>
          <cell r="D338" t="str">
            <v>ITOT_LTH_CHP</v>
          </cell>
          <cell r="I338">
            <v>9.4943407786836492E-3</v>
          </cell>
          <cell r="J338">
            <v>9.2188467765105975E-2</v>
          </cell>
          <cell r="K338">
            <v>0.10612356157357962</v>
          </cell>
        </row>
        <row r="339">
          <cell r="B339" t="str">
            <v>ITOT-CHPHFC</v>
          </cell>
          <cell r="C339" t="str">
            <v>VAR_fout</v>
          </cell>
          <cell r="D339" t="str">
            <v>ITOT_KEV_HFC_ELC_CHP</v>
          </cell>
          <cell r="I339">
            <v>1.4092050031329552E-2</v>
          </cell>
          <cell r="J339">
            <v>0.1536474462751766</v>
          </cell>
          <cell r="K339">
            <v>0.21224712314715927</v>
          </cell>
        </row>
        <row r="340">
          <cell r="B340" t="str">
            <v>ITOT-CHPHFC</v>
          </cell>
          <cell r="C340" t="str">
            <v>VAR_fin</v>
          </cell>
          <cell r="D340" t="str">
            <v>IH2</v>
          </cell>
          <cell r="I340">
            <v>2.6970430681970428E-2</v>
          </cell>
          <cell r="J340">
            <v>0.27935899322759417</v>
          </cell>
          <cell r="K340">
            <v>0.3537452052452657</v>
          </cell>
        </row>
        <row r="341">
          <cell r="B341" t="str">
            <v>ITOT-CHPHFC</v>
          </cell>
          <cell r="C341" t="str">
            <v>VAR_ncap</v>
          </cell>
          <cell r="D341" t="str">
            <v>-</v>
          </cell>
          <cell r="I341">
            <v>1.1209268885622201E-3</v>
          </cell>
          <cell r="J341">
            <v>1.7498898823704801E-2</v>
          </cell>
          <cell r="K341">
            <v>7.8655803786950706E-3</v>
          </cell>
        </row>
        <row r="342">
          <cell r="B342" t="str">
            <v>ITOT-CHPHFC</v>
          </cell>
          <cell r="C342" t="str">
            <v>VAR_cap</v>
          </cell>
          <cell r="D342" t="str">
            <v>-</v>
          </cell>
          <cell r="I342">
            <v>1.1209268885622201E-3</v>
          </cell>
          <cell r="J342">
            <v>1.8619701869222086E-2</v>
          </cell>
          <cell r="K342">
            <v>2.1038940298555357E-2</v>
          </cell>
        </row>
        <row r="343">
          <cell r="B343" t="str">
            <v>G-INTC-TRA</v>
          </cell>
          <cell r="C343" t="str">
            <v>VAR_fout</v>
          </cell>
          <cell r="D343" t="str">
            <v>TRAN_ELC</v>
          </cell>
          <cell r="I343">
            <v>43.318492922018009</v>
          </cell>
          <cell r="J343">
            <v>32.651627080112732</v>
          </cell>
          <cell r="K343">
            <v>34.498720601753703</v>
          </cell>
        </row>
        <row r="344">
          <cell r="B344" t="str">
            <v>G-INTC-TRA</v>
          </cell>
          <cell r="C344" t="str">
            <v>VAR_fin</v>
          </cell>
          <cell r="D344" t="str">
            <v>ELC3</v>
          </cell>
          <cell r="I344">
            <v>43.118023422386663</v>
          </cell>
          <cell r="J344">
            <v>17.046070019764766</v>
          </cell>
          <cell r="K344">
            <v>15.830109136880663</v>
          </cell>
        </row>
        <row r="345">
          <cell r="B345" t="str">
            <v>G-INTC-TRA</v>
          </cell>
          <cell r="C345" t="str">
            <v>VAR_fin</v>
          </cell>
          <cell r="D345" t="str">
            <v>ELC5</v>
          </cell>
          <cell r="I345">
            <v>0.20046949963135249</v>
          </cell>
          <cell r="J345">
            <v>15.605557060347998</v>
          </cell>
          <cell r="K345">
            <v>18.668611464873049</v>
          </cell>
        </row>
        <row r="346">
          <cell r="B346" t="str">
            <v>G-INTC-TRA</v>
          </cell>
          <cell r="C346" t="str">
            <v>VAR_ncap</v>
          </cell>
          <cell r="D346" t="str">
            <v>-</v>
          </cell>
          <cell r="I346">
            <v>2.7919218347372999E-6</v>
          </cell>
          <cell r="J346">
            <v>2.2806918131461198E-6</v>
          </cell>
          <cell r="K346">
            <v>3.0604453909268701E-6</v>
          </cell>
        </row>
        <row r="347">
          <cell r="B347" t="str">
            <v>G-INTC-TRA</v>
          </cell>
          <cell r="C347" t="str">
            <v>VAR_cap</v>
          </cell>
          <cell r="D347" t="str">
            <v>-</v>
          </cell>
          <cell r="I347">
            <v>1.3981094305457522</v>
          </cell>
          <cell r="J347">
            <v>1.398112648250931</v>
          </cell>
          <cell r="K347">
            <v>1.3981160954341061</v>
          </cell>
        </row>
        <row r="348">
          <cell r="B348" t="str">
            <v>SCOM-SWHSTG-CHPBIO</v>
          </cell>
          <cell r="C348" t="str">
            <v>VAR_fout</v>
          </cell>
          <cell r="D348" t="str">
            <v>AUX_SCOM-CHPBIO_OUT</v>
          </cell>
          <cell r="I348">
            <v>10.47318672464268</v>
          </cell>
          <cell r="J348">
            <v>13.364957185517714</v>
          </cell>
          <cell r="K348">
            <v>99.589547046556945</v>
          </cell>
        </row>
        <row r="349">
          <cell r="B349" t="str">
            <v>SCOM-SWHSTG-CHPBIO</v>
          </cell>
          <cell r="C349" t="str">
            <v>VAR_fout</v>
          </cell>
          <cell r="D349" t="str">
            <v>SCOM_LTH_CHPBIO</v>
          </cell>
          <cell r="I349">
            <v>10.484836543023807</v>
          </cell>
          <cell r="J349">
            <v>13.364957185517691</v>
          </cell>
          <cell r="K349">
            <v>99.589547046556916</v>
          </cell>
        </row>
        <row r="350">
          <cell r="B350" t="str">
            <v>SCOM-SWHSTG-CHPBIO</v>
          </cell>
          <cell r="C350" t="str">
            <v>VAR_fin</v>
          </cell>
          <cell r="D350" t="str">
            <v>SCOM_LTH_CHPBIO</v>
          </cell>
          <cell r="I350">
            <v>11.649809779467438</v>
          </cell>
          <cell r="J350">
            <v>14.370916619821379</v>
          </cell>
          <cell r="K350">
            <v>100.59550722491667</v>
          </cell>
        </row>
        <row r="351">
          <cell r="B351" t="str">
            <v>SCOM-SWHSTG-CHPBIO</v>
          </cell>
          <cell r="C351" t="str">
            <v>VAR_fin</v>
          </cell>
          <cell r="D351" t="str">
            <v>AUX_SCOM-CHPBIO_IN</v>
          </cell>
          <cell r="I351">
            <v>11.649809779467438</v>
          </cell>
          <cell r="J351">
            <v>14.370916619821379</v>
          </cell>
          <cell r="K351">
            <v>100.59550722491667</v>
          </cell>
        </row>
        <row r="352">
          <cell r="B352" t="str">
            <v>SCOM-SWHSTG-CHPBIO</v>
          </cell>
          <cell r="C352" t="str">
            <v>VAR_ncap</v>
          </cell>
          <cell r="D352" t="str">
            <v>-</v>
          </cell>
          <cell r="I352">
            <v>0.105684464557221</v>
          </cell>
          <cell r="J352">
            <v>0.59772439909261099</v>
          </cell>
          <cell r="K352">
            <v>5.70986813010453</v>
          </cell>
        </row>
        <row r="353">
          <cell r="B353" t="str">
            <v>SCOM-SWHSTG-CHPBIO</v>
          </cell>
          <cell r="C353" t="str">
            <v>VAR_cap</v>
          </cell>
          <cell r="D353" t="str">
            <v>-</v>
          </cell>
          <cell r="I353">
            <v>0.6554815150039015</v>
          </cell>
          <cell r="J353">
            <v>0.83394863304056777</v>
          </cell>
          <cell r="K353">
            <v>6.1883363233785955</v>
          </cell>
        </row>
        <row r="354">
          <cell r="B354" t="str">
            <v>SCOM-SWHSTG-CHPHFC</v>
          </cell>
          <cell r="C354" t="str">
            <v>VAR_fout</v>
          </cell>
          <cell r="D354" t="str">
            <v>AUX_SCOM-CHPHFC_OUT</v>
          </cell>
          <cell r="I354">
            <v>4.6097722829138155E-2</v>
          </cell>
          <cell r="J354">
            <v>8.910019774946569E-2</v>
          </cell>
          <cell r="K354">
            <v>0.78479526642239561</v>
          </cell>
        </row>
        <row r="355">
          <cell r="B355" t="str">
            <v>SCOM-SWHSTG-CHPHFC</v>
          </cell>
          <cell r="C355" t="str">
            <v>VAR_fout</v>
          </cell>
          <cell r="D355" t="str">
            <v>SCOM_LTH_CHPHFC</v>
          </cell>
          <cell r="I355">
            <v>4.6148999495243925E-2</v>
          </cell>
          <cell r="J355">
            <v>8.9100197749465621E-2</v>
          </cell>
          <cell r="K355">
            <v>0.78479526642239561</v>
          </cell>
        </row>
        <row r="356">
          <cell r="B356" t="str">
            <v>SCOM-SWHSTG-CHPHFC</v>
          </cell>
          <cell r="C356" t="str">
            <v>VAR_fin</v>
          </cell>
          <cell r="D356" t="str">
            <v>SCOM_LTH_CHPHFC</v>
          </cell>
          <cell r="I356">
            <v>5.1265425270052546E-2</v>
          </cell>
          <cell r="J356">
            <v>9.5803852794120112E-2</v>
          </cell>
          <cell r="K356">
            <v>0.79272524687267776</v>
          </cell>
        </row>
        <row r="357">
          <cell r="B357" t="str">
            <v>SCOM-SWHSTG-CHPHFC</v>
          </cell>
          <cell r="C357" t="str">
            <v>VAR_fin</v>
          </cell>
          <cell r="D357" t="str">
            <v>AUX_SCOM-CHPHFC_IN</v>
          </cell>
          <cell r="I357">
            <v>5.1265425270052546E-2</v>
          </cell>
          <cell r="J357">
            <v>9.5803852794120112E-2</v>
          </cell>
          <cell r="K357">
            <v>0.79272524687267776</v>
          </cell>
        </row>
        <row r="358">
          <cell r="B358" t="str">
            <v>SCOM-SWHSTG-CHPHFC</v>
          </cell>
          <cell r="C358" t="str">
            <v>VAR_ncap</v>
          </cell>
          <cell r="D358" t="str">
            <v>-</v>
          </cell>
          <cell r="I358">
            <v>4.2560440482365897E-3</v>
          </cell>
          <cell r="J358">
            <v>1.5016766639949399E-3</v>
          </cell>
          <cell r="K358">
            <v>4.5901786123643998E-2</v>
          </cell>
        </row>
        <row r="359">
          <cell r="B359" t="str">
            <v>SCOM-SWHSTG-CHPHFC</v>
          </cell>
          <cell r="C359" t="str">
            <v>VAR_cap</v>
          </cell>
          <cell r="D359" t="str">
            <v>-</v>
          </cell>
          <cell r="I359">
            <v>5.187288552226125E-3</v>
          </cell>
          <cell r="J359">
            <v>5.8105656330312621E-3</v>
          </cell>
          <cell r="K359">
            <v>4.8767618661812562E-2</v>
          </cell>
        </row>
        <row r="360">
          <cell r="B360" t="str">
            <v>D-IHFO</v>
          </cell>
          <cell r="C360" t="str">
            <v>VAR_fout</v>
          </cell>
          <cell r="D360" t="str">
            <v>CO2</v>
          </cell>
          <cell r="I360">
            <v>0.73142805556310697</v>
          </cell>
          <cell r="J360">
            <v>4.9170376601572398E-2</v>
          </cell>
          <cell r="K360"/>
        </row>
        <row r="361">
          <cell r="B361" t="str">
            <v>D-IHFO</v>
          </cell>
          <cell r="C361" t="str">
            <v>VAR_fout</v>
          </cell>
          <cell r="D361" t="str">
            <v>IHFO</v>
          </cell>
          <cell r="I361">
            <v>9.3404201900299001E-3</v>
          </cell>
          <cell r="J361">
            <v>6.2791135077136105E-4</v>
          </cell>
          <cell r="K361"/>
        </row>
        <row r="362">
          <cell r="B362" t="str">
            <v>D-IHFO</v>
          </cell>
          <cell r="C362" t="str">
            <v>VAR_fin</v>
          </cell>
          <cell r="D362" t="str">
            <v>HFO</v>
          </cell>
          <cell r="I362">
            <v>9.4990656566637174E-3</v>
          </cell>
          <cell r="J362">
            <v>6.3857631950093999E-4</v>
          </cell>
          <cell r="K362"/>
        </row>
        <row r="363">
          <cell r="B363" t="str">
            <v>RHNM-CHPNGA</v>
          </cell>
          <cell r="C363" t="str">
            <v>VAR_fout</v>
          </cell>
          <cell r="D363" t="str">
            <v>CO2_R</v>
          </cell>
          <cell r="I363">
            <v>1.4510375368555</v>
          </cell>
          <cell r="J363">
            <v>0.46369474203941202</v>
          </cell>
          <cell r="K363"/>
        </row>
        <row r="364">
          <cell r="B364" t="str">
            <v>RHNM-CHPNGA</v>
          </cell>
          <cell r="C364" t="str">
            <v>VAR_fout</v>
          </cell>
          <cell r="D364" t="str">
            <v>RHNM_NKEV_GAS_ELC_CHP</v>
          </cell>
          <cell r="I364">
            <v>6.5204947894462488E-3</v>
          </cell>
          <cell r="J364">
            <v>2.3929160468217255E-3</v>
          </cell>
          <cell r="K364"/>
        </row>
        <row r="365">
          <cell r="B365" t="str">
            <v>RHNM-CHPNGA</v>
          </cell>
          <cell r="C365" t="str">
            <v>VAR_fout</v>
          </cell>
          <cell r="D365" t="str">
            <v>RHNM_LTH_CHPNGA</v>
          </cell>
          <cell r="I365">
            <v>1.3311786083809394E-2</v>
          </cell>
          <cell r="J365">
            <v>4.8250602255585631E-3</v>
          </cell>
          <cell r="K365"/>
        </row>
        <row r="366">
          <cell r="B366" t="str">
            <v>RHNM-CHPNGA</v>
          </cell>
          <cell r="C366" t="str">
            <v>VAR_fin</v>
          </cell>
          <cell r="D366" t="str">
            <v>RNGA</v>
          </cell>
          <cell r="I366">
            <v>2.5727615901693281E-2</v>
          </cell>
          <cell r="J366">
            <v>8.221537979422204E-3</v>
          </cell>
          <cell r="K366"/>
        </row>
        <row r="367">
          <cell r="B367" t="str">
            <v>RHNM-CHPNGA</v>
          </cell>
          <cell r="C367" t="str">
            <v>VAR_ncap</v>
          </cell>
          <cell r="D367" t="str">
            <v>-</v>
          </cell>
          <cell r="I367"/>
          <cell r="J367"/>
          <cell r="K367"/>
        </row>
        <row r="368">
          <cell r="B368" t="str">
            <v>RHNM-CHPNGA</v>
          </cell>
          <cell r="C368" t="str">
            <v>VAR_cap</v>
          </cell>
          <cell r="D368" t="str">
            <v>-</v>
          </cell>
          <cell r="I368">
            <v>4.8349933701386373E-4</v>
          </cell>
          <cell r="J368">
            <v>2.5052514539393011E-4</v>
          </cell>
          <cell r="K368"/>
        </row>
        <row r="369">
          <cell r="B369" t="str">
            <v>G-INTC-EXP00-DE</v>
          </cell>
          <cell r="C369" t="str">
            <v>VAR_fout</v>
          </cell>
          <cell r="D369" t="str">
            <v>ELC_E-DE</v>
          </cell>
          <cell r="I369">
            <v>1.9138864364792599E-3</v>
          </cell>
          <cell r="J369">
            <v>5.3547850626956975E-3</v>
          </cell>
          <cell r="K369">
            <v>1.9723205449428878E-3</v>
          </cell>
        </row>
        <row r="370">
          <cell r="B370" t="str">
            <v>G-INTC-EXP00-DE</v>
          </cell>
          <cell r="C370" t="str">
            <v>VAR_fin</v>
          </cell>
          <cell r="D370" t="str">
            <v>ELC</v>
          </cell>
          <cell r="I370">
            <v>1.9138864364792599E-3</v>
          </cell>
          <cell r="J370">
            <v>5.3547850626956975E-3</v>
          </cell>
          <cell r="K370">
            <v>1.9723205449428878E-3</v>
          </cell>
        </row>
        <row r="371">
          <cell r="B371" t="str">
            <v>G-INTC-EXP00-DE</v>
          </cell>
          <cell r="C371" t="str">
            <v>VAR_ncap</v>
          </cell>
          <cell r="D371" t="str">
            <v>-</v>
          </cell>
          <cell r="I371">
            <v>9.9227077247333496E-6</v>
          </cell>
          <cell r="J371">
            <v>1.4392490601878699E-5</v>
          </cell>
          <cell r="K371">
            <v>2.4070129780245098E-5</v>
          </cell>
        </row>
        <row r="372">
          <cell r="B372" t="str">
            <v>G-INTC-EXP00-DE</v>
          </cell>
          <cell r="C372" t="str">
            <v>VAR_cap</v>
          </cell>
          <cell r="D372" t="str">
            <v>-</v>
          </cell>
          <cell r="I372">
            <v>1.918512929139915E-3</v>
          </cell>
          <cell r="J372">
            <v>2.5281727210542115E-3</v>
          </cell>
          <cell r="K372">
            <v>1.6909117669188234E-3</v>
          </cell>
        </row>
        <row r="373">
          <cell r="B373" t="str">
            <v>CEN-EBAT</v>
          </cell>
          <cell r="C373" t="str">
            <v>VAR_fout</v>
          </cell>
          <cell r="D373" t="str">
            <v>ELC13</v>
          </cell>
          <cell r="I373">
            <v>0.16429434296466339</v>
          </cell>
          <cell r="J373">
            <v>1.5500039966511421</v>
          </cell>
          <cell r="K373">
            <v>2.553169459566154</v>
          </cell>
        </row>
        <row r="374">
          <cell r="B374" t="str">
            <v>CEN-EBAT</v>
          </cell>
          <cell r="C374" t="str">
            <v>VAR_fout</v>
          </cell>
          <cell r="D374" t="str">
            <v>AUX_CEN-EBAT_OUT</v>
          </cell>
          <cell r="I374">
            <v>0.16429434296466278</v>
          </cell>
          <cell r="J374">
            <v>1.5500039966511359</v>
          </cell>
          <cell r="K374">
            <v>2.5531694595661465</v>
          </cell>
        </row>
        <row r="375">
          <cell r="B375" t="str">
            <v>CEN-EBAT</v>
          </cell>
          <cell r="C375" t="str">
            <v>VAR_fin</v>
          </cell>
          <cell r="D375" t="str">
            <v>AUX_CEN-EBAT_IN</v>
          </cell>
          <cell r="I375">
            <v>0.18949243662099308</v>
          </cell>
          <cell r="J375">
            <v>1.7877004238148997</v>
          </cell>
          <cell r="K375">
            <v>2.9446994206140209</v>
          </cell>
        </row>
        <row r="376">
          <cell r="B376" t="str">
            <v>CEN-EBAT</v>
          </cell>
          <cell r="C376" t="str">
            <v>VAR_fin</v>
          </cell>
          <cell r="D376" t="str">
            <v>ELC13</v>
          </cell>
          <cell r="I376">
            <v>0.18949243662099308</v>
          </cell>
          <cell r="J376">
            <v>1.7877004238148997</v>
          </cell>
          <cell r="K376">
            <v>2.9446994206140209</v>
          </cell>
        </row>
        <row r="377">
          <cell r="B377" t="str">
            <v>CEN-EBAT</v>
          </cell>
          <cell r="C377" t="str">
            <v>VAR_ncap</v>
          </cell>
          <cell r="D377" t="str">
            <v>-</v>
          </cell>
          <cell r="I377">
            <v>2.59889728359563E-2</v>
          </cell>
          <cell r="J377">
            <v>1.08768877406064</v>
          </cell>
          <cell r="K377">
            <v>0.56736001561687399</v>
          </cell>
        </row>
        <row r="378">
          <cell r="B378" t="str">
            <v>CEN-EBAT</v>
          </cell>
          <cell r="C378" t="str">
            <v>VAR_cap</v>
          </cell>
          <cell r="D378" t="str">
            <v>-</v>
          </cell>
          <cell r="I378">
            <v>4.9144227958177585E-2</v>
          </cell>
          <cell r="J378">
            <v>1.1173121915537889</v>
          </cell>
          <cell r="K378">
            <v>1.1174011424069468</v>
          </cell>
        </row>
        <row r="379">
          <cell r="B379" t="str">
            <v>ESOL-PV</v>
          </cell>
          <cell r="C379" t="str">
            <v>VAR_fout</v>
          </cell>
          <cell r="D379" t="str">
            <v>ELC35</v>
          </cell>
          <cell r="I379">
            <v>0.82960302709751188</v>
          </cell>
          <cell r="J379">
            <v>1.4212588923952203</v>
          </cell>
          <cell r="K379">
            <v>1.1762883300476721</v>
          </cell>
        </row>
        <row r="380">
          <cell r="B380" t="str">
            <v>ESOL-PV</v>
          </cell>
          <cell r="C380" t="str">
            <v>VAR_fin</v>
          </cell>
          <cell r="D380" t="str">
            <v>SOL</v>
          </cell>
          <cell r="I380">
            <v>0.82960302709751188</v>
          </cell>
          <cell r="J380">
            <v>1.4212588923952203</v>
          </cell>
          <cell r="K380">
            <v>1.1762883300476721</v>
          </cell>
        </row>
        <row r="381">
          <cell r="B381" t="str">
            <v>ESOL-PV</v>
          </cell>
          <cell r="C381" t="str">
            <v>VAR_fin</v>
          </cell>
          <cell r="D381" t="str">
            <v>SOLPVC</v>
          </cell>
          <cell r="I381">
            <v>0.82960302709751199</v>
          </cell>
          <cell r="J381">
            <v>1.4212588923952201</v>
          </cell>
          <cell r="K381">
            <v>1.1762883300476701</v>
          </cell>
        </row>
        <row r="382">
          <cell r="B382" t="str">
            <v>ESOL-PV</v>
          </cell>
          <cell r="C382" t="str">
            <v>VAR_ncap</v>
          </cell>
          <cell r="D382" t="str">
            <v>-</v>
          </cell>
          <cell r="I382">
            <v>0.17052717661969899</v>
          </cell>
          <cell r="J382">
            <v>0.17056017895530501</v>
          </cell>
          <cell r="K382">
            <v>2.64863604882664E-2</v>
          </cell>
        </row>
        <row r="383">
          <cell r="B383" t="str">
            <v>ESOL-PV</v>
          </cell>
          <cell r="C383" t="str">
            <v>VAR_cap</v>
          </cell>
          <cell r="D383" t="str">
            <v>-</v>
          </cell>
          <cell r="I383">
            <v>0.23915319371322899</v>
          </cell>
          <cell r="J383">
            <v>0.40971337266853403</v>
          </cell>
          <cell r="K383">
            <v>0.33909673091482301</v>
          </cell>
        </row>
        <row r="384">
          <cell r="B384" t="str">
            <v>RHEM-SHSTG-CHPNGA</v>
          </cell>
          <cell r="C384" t="str">
            <v>VAR_fout</v>
          </cell>
          <cell r="D384" t="str">
            <v>RHEM_LTH_CHPNGA</v>
          </cell>
          <cell r="I384">
            <v>4.6740427523154198E-3</v>
          </cell>
          <cell r="J384">
            <v>1.6093540079806783E-3</v>
          </cell>
          <cell r="K384">
            <v>3.5881232928558629E-4</v>
          </cell>
        </row>
        <row r="385">
          <cell r="B385" t="str">
            <v>RHEM-SHSTG-CHPNGA</v>
          </cell>
          <cell r="C385" t="str">
            <v>VAR_fout</v>
          </cell>
          <cell r="D385" t="str">
            <v>AUX_REM-CHPNGA_OUT</v>
          </cell>
          <cell r="I385">
            <v>4.669750702037824E-3</v>
          </cell>
          <cell r="J385">
            <v>1.6093540079806835E-3</v>
          </cell>
          <cell r="K385">
            <v>3.5881232928558661E-4</v>
          </cell>
        </row>
        <row r="386">
          <cell r="B386" t="str">
            <v>RHEM-SHSTG-CHPNGA</v>
          </cell>
          <cell r="C386" t="str">
            <v>VAR_fin</v>
          </cell>
          <cell r="D386" t="str">
            <v>AUX_REM-CHPNGA_IN</v>
          </cell>
          <cell r="I386">
            <v>5.6720847564899557E-3</v>
          </cell>
          <cell r="J386">
            <v>1.8999240673049133E-3</v>
          </cell>
          <cell r="K386">
            <v>3.0395786923221408E-4</v>
          </cell>
        </row>
        <row r="387">
          <cell r="B387" t="str">
            <v>RHEM-SHSTG-CHPNGA</v>
          </cell>
          <cell r="C387" t="str">
            <v>VAR_fin</v>
          </cell>
          <cell r="D387" t="str">
            <v>RHEM_LTH_CHPNGA</v>
          </cell>
          <cell r="I387">
            <v>5.6720847564899557E-3</v>
          </cell>
          <cell r="J387">
            <v>1.8999240673049133E-3</v>
          </cell>
          <cell r="K387">
            <v>3.0395786923221408E-4</v>
          </cell>
        </row>
        <row r="388">
          <cell r="B388" t="str">
            <v>RHEM-SHSTG-CHPNGA</v>
          </cell>
          <cell r="C388" t="str">
            <v>VAR_ncap</v>
          </cell>
          <cell r="D388" t="str">
            <v>-</v>
          </cell>
          <cell r="I388">
            <v>5.9896008170798104E-3</v>
          </cell>
          <cell r="J388">
            <v>1.6480484917551601E-4</v>
          </cell>
          <cell r="K388">
            <v>3.6489840088079697E-5</v>
          </cell>
        </row>
        <row r="389">
          <cell r="B389" t="str">
            <v>RHEM-SHSTG-CHPNGA</v>
          </cell>
          <cell r="C389" t="str">
            <v>VAR_cap</v>
          </cell>
          <cell r="D389" t="str">
            <v>-</v>
          </cell>
          <cell r="I389">
            <v>8.1580537785144232E-3</v>
          </cell>
          <cell r="J389">
            <v>6.1664583441326283E-3</v>
          </cell>
          <cell r="K389">
            <v>2.6348322324571249E-3</v>
          </cell>
        </row>
        <row r="390">
          <cell r="B390" t="str">
            <v>RHNS-ESOLPV</v>
          </cell>
          <cell r="C390" t="str">
            <v>VAR_fout</v>
          </cell>
          <cell r="D390" t="str">
            <v>RHNS_SOL_ELC</v>
          </cell>
          <cell r="I390">
            <v>7.1906426884537824</v>
          </cell>
          <cell r="J390">
            <v>7.557446545911537</v>
          </cell>
          <cell r="K390">
            <v>8.3481253068248211</v>
          </cell>
        </row>
        <row r="391">
          <cell r="B391" t="str">
            <v>RHNS-ESOLPV</v>
          </cell>
          <cell r="C391" t="str">
            <v>VAR_fin</v>
          </cell>
          <cell r="D391" t="str">
            <v>SOL</v>
          </cell>
          <cell r="I391">
            <v>7.1906426884537824</v>
          </cell>
          <cell r="J391">
            <v>7.557446545911537</v>
          </cell>
          <cell r="K391">
            <v>8.3481253068248211</v>
          </cell>
        </row>
        <row r="392">
          <cell r="B392" t="str">
            <v>RHNS-ESOLPV</v>
          </cell>
          <cell r="C392" t="str">
            <v>VAR_fin</v>
          </cell>
          <cell r="D392" t="str">
            <v>SOLPVC</v>
          </cell>
          <cell r="I392">
            <v>7.1906426884537797</v>
          </cell>
          <cell r="J392">
            <v>7.5574465459115396</v>
          </cell>
          <cell r="K392">
            <v>8.3481253068248105</v>
          </cell>
        </row>
        <row r="393">
          <cell r="B393" t="str">
            <v>RHNS-ESOLPV</v>
          </cell>
          <cell r="C393" t="str">
            <v>VAR_ncap</v>
          </cell>
          <cell r="D393" t="str">
            <v>-</v>
          </cell>
          <cell r="I393">
            <v>0.100606661866777</v>
          </cell>
          <cell r="J393">
            <v>0.105752381872098</v>
          </cell>
          <cell r="K393">
            <v>1.7103949477445599</v>
          </cell>
        </row>
        <row r="394">
          <cell r="B394" t="str">
            <v>RHNS-ESOLPV</v>
          </cell>
          <cell r="C394" t="str">
            <v>VAR_cap</v>
          </cell>
          <cell r="D394" t="str">
            <v>-</v>
          </cell>
          <cell r="I394">
            <v>2.07285489218815</v>
          </cell>
          <cell r="J394">
            <v>2.1785944091605098</v>
          </cell>
          <cell r="K394">
            <v>2.4065230243471101</v>
          </cell>
        </row>
        <row r="395">
          <cell r="B395" t="str">
            <v>RHSA-WHSTG-CHP</v>
          </cell>
          <cell r="C395" t="str">
            <v>VAR_fout</v>
          </cell>
          <cell r="D395" t="str">
            <v>AUX_RHSA-CHP_OUT</v>
          </cell>
          <cell r="I395">
            <v>9.7602168324001284E-3</v>
          </cell>
          <cell r="J395">
            <v>1.0280654189253387E-2</v>
          </cell>
          <cell r="K395">
            <v>0.14806413021899781</v>
          </cell>
        </row>
        <row r="396">
          <cell r="B396" t="str">
            <v>RHSA-WHSTG-CHP</v>
          </cell>
          <cell r="C396" t="str">
            <v>VAR_fout</v>
          </cell>
          <cell r="D396" t="str">
            <v>RHSA_LTH</v>
          </cell>
          <cell r="I396">
            <v>9.769187619929896E-3</v>
          </cell>
          <cell r="J396">
            <v>1.0280654189253356E-2</v>
          </cell>
          <cell r="K396">
            <v>0.14806413021899772</v>
          </cell>
        </row>
        <row r="397">
          <cell r="B397" t="str">
            <v>RHSA-WHSTG-CHP</v>
          </cell>
          <cell r="C397" t="str">
            <v>VAR_fin</v>
          </cell>
          <cell r="D397" t="str">
            <v>RHSA_LTH</v>
          </cell>
          <cell r="I397">
            <v>1.1848017444490265E-2</v>
          </cell>
          <cell r="J397">
            <v>1.2101453692332851E-2</v>
          </cell>
          <cell r="K397">
            <v>0.16452239002756042</v>
          </cell>
        </row>
        <row r="398">
          <cell r="B398" t="str">
            <v>RHSA-WHSTG-CHP</v>
          </cell>
          <cell r="C398" t="str">
            <v>VAR_fin</v>
          </cell>
          <cell r="D398" t="str">
            <v>AUX_RHSA-CHP_IN</v>
          </cell>
          <cell r="I398">
            <v>1.1848017444490265E-2</v>
          </cell>
          <cell r="J398">
            <v>1.2101453692332851E-2</v>
          </cell>
          <cell r="K398">
            <v>0.16452239002756042</v>
          </cell>
        </row>
        <row r="399">
          <cell r="B399" t="str">
            <v>RHSA-WHSTG-CHP</v>
          </cell>
          <cell r="C399" t="str">
            <v>VAR_ncap</v>
          </cell>
          <cell r="D399" t="str">
            <v>-</v>
          </cell>
          <cell r="I399">
            <v>5.6816202084908297E-3</v>
          </cell>
          <cell r="J399">
            <v>3.9496469710695601E-3</v>
          </cell>
          <cell r="K399">
            <v>4.5856855082876603E-2</v>
          </cell>
        </row>
        <row r="400">
          <cell r="B400" t="str">
            <v>RHSA-WHSTG-CHP</v>
          </cell>
          <cell r="C400" t="str">
            <v>VAR_cap</v>
          </cell>
          <cell r="D400" t="str">
            <v>-</v>
          </cell>
          <cell r="I400">
            <v>8.0162763913825055E-3</v>
          </cell>
          <cell r="J400">
            <v>9.6320394967527867E-3</v>
          </cell>
          <cell r="K400">
            <v>5.1090843928155778E-2</v>
          </cell>
        </row>
        <row r="401">
          <cell r="B401" t="str">
            <v>G-INTC-SER</v>
          </cell>
          <cell r="C401" t="str">
            <v>VAR_fout</v>
          </cell>
          <cell r="D401" t="str">
            <v>ELC35</v>
          </cell>
          <cell r="I401">
            <v>3.0493723859373822E-3</v>
          </cell>
          <cell r="J401">
            <v>0.56773733825167394</v>
          </cell>
          <cell r="K401">
            <v>0.55020804199657947</v>
          </cell>
        </row>
        <row r="402">
          <cell r="B402" t="str">
            <v>G-INTC-SER</v>
          </cell>
          <cell r="C402" t="str">
            <v>VAR_fout</v>
          </cell>
          <cell r="D402" t="str">
            <v>SCOM_ELC</v>
          </cell>
          <cell r="I402">
            <v>39.461275016443963</v>
          </cell>
          <cell r="J402">
            <v>30.939330282911012</v>
          </cell>
          <cell r="K402">
            <v>27.894188086810136</v>
          </cell>
        </row>
        <row r="403">
          <cell r="B403" t="str">
            <v>G-INTC-SER</v>
          </cell>
          <cell r="C403" t="str">
            <v>VAR_fin</v>
          </cell>
          <cell r="D403" t="str">
            <v>ELC5</v>
          </cell>
          <cell r="I403">
            <v>39.464324388829908</v>
          </cell>
          <cell r="J403">
            <v>31.507058093784057</v>
          </cell>
          <cell r="K403">
            <v>28.444385871696067</v>
          </cell>
        </row>
        <row r="404">
          <cell r="B404" t="str">
            <v>G-INTC-SER</v>
          </cell>
          <cell r="C404" t="str">
            <v>VAR_ncap</v>
          </cell>
          <cell r="D404" t="str">
            <v>-</v>
          </cell>
          <cell r="I404">
            <v>4.5922153538280099E-7</v>
          </cell>
          <cell r="J404">
            <v>5.9536844909572695E-7</v>
          </cell>
          <cell r="K404">
            <v>7.9225031692395402E-7</v>
          </cell>
        </row>
        <row r="405">
          <cell r="B405" t="str">
            <v>G-INTC-SER</v>
          </cell>
          <cell r="C405" t="str">
            <v>VAR_cap</v>
          </cell>
          <cell r="D405" t="str">
            <v>-</v>
          </cell>
          <cell r="I405">
            <v>4.3683899277618812</v>
          </cell>
          <cell r="J405">
            <v>4.3683905630580231</v>
          </cell>
          <cell r="K405">
            <v>4.3683914579998184</v>
          </cell>
        </row>
        <row r="406">
          <cell r="B406" t="str">
            <v>CHPWOD</v>
          </cell>
          <cell r="C406" t="str">
            <v>VAR_fout</v>
          </cell>
          <cell r="D406" t="str">
            <v>ELC35</v>
          </cell>
          <cell r="I406">
            <v>0.7537574359050917</v>
          </cell>
          <cell r="J406">
            <v>0.95121307295857083</v>
          </cell>
          <cell r="K406">
            <v>1.1350560659384497</v>
          </cell>
        </row>
        <row r="407">
          <cell r="B407" t="str">
            <v>CHPWOD</v>
          </cell>
          <cell r="C407" t="str">
            <v>VAR_fout</v>
          </cell>
          <cell r="D407" t="str">
            <v>LTH</v>
          </cell>
          <cell r="I407">
            <v>1.9712149406323181</v>
          </cell>
          <cell r="J407">
            <v>2.4875979085887354</v>
          </cell>
          <cell r="K407">
            <v>2.9683812975543757</v>
          </cell>
        </row>
        <row r="408">
          <cell r="B408" t="str">
            <v>CHPWOD</v>
          </cell>
          <cell r="C408" t="str">
            <v>VAR_fin</v>
          </cell>
          <cell r="D408" t="str">
            <v>EWOD</v>
          </cell>
          <cell r="I408">
            <v>2.5949267300513972</v>
          </cell>
          <cell r="J408">
            <v>3.1069118428847178</v>
          </cell>
          <cell r="K408">
            <v>3.7094370024224177</v>
          </cell>
        </row>
        <row r="409">
          <cell r="B409" t="str">
            <v>CHPWOD</v>
          </cell>
          <cell r="C409" t="str">
            <v>VAR_ncap</v>
          </cell>
          <cell r="D409" t="str">
            <v>-</v>
          </cell>
          <cell r="I409">
            <v>2.75526870859964E-2</v>
          </cell>
          <cell r="J409">
            <v>2.5725108754514999E-2</v>
          </cell>
          <cell r="K409">
            <v>5.4302640699313301E-2</v>
          </cell>
        </row>
        <row r="410">
          <cell r="B410" t="str">
            <v>CHPWOD</v>
          </cell>
          <cell r="C410" t="str">
            <v>VAR_cap</v>
          </cell>
          <cell r="D410" t="str">
            <v>-</v>
          </cell>
          <cell r="I410">
            <v>2.8175709677442359E-2</v>
          </cell>
          <cell r="J410">
            <v>5.380289971140783E-2</v>
          </cell>
          <cell r="K410">
            <v>0.10209617036764271</v>
          </cell>
        </row>
        <row r="411">
          <cell r="B411" t="str">
            <v>D-EH2R</v>
          </cell>
          <cell r="C411" t="str">
            <v>VAR_fout</v>
          </cell>
          <cell r="D411" t="str">
            <v>EH2</v>
          </cell>
          <cell r="I411"/>
          <cell r="J411">
            <v>5.7895734265462993E-3</v>
          </cell>
          <cell r="K411">
            <v>1.4403934065899614E-2</v>
          </cell>
        </row>
        <row r="412">
          <cell r="B412" t="str">
            <v>D-EH2R</v>
          </cell>
          <cell r="C412" t="str">
            <v>VAR_fin</v>
          </cell>
          <cell r="D412" t="str">
            <v>H2</v>
          </cell>
          <cell r="I412"/>
          <cell r="J412">
            <v>5.7895734265462993E-3</v>
          </cell>
          <cell r="K412">
            <v>1.4403934065899614E-2</v>
          </cell>
        </row>
        <row r="413">
          <cell r="B413" t="str">
            <v>D-EH2R</v>
          </cell>
          <cell r="C413" t="str">
            <v>VAR_ncap</v>
          </cell>
          <cell r="D413" t="str">
            <v>-</v>
          </cell>
          <cell r="I413">
            <v>2.3999876434833399E-6</v>
          </cell>
          <cell r="J413">
            <v>7.4621592698969805E-4</v>
          </cell>
          <cell r="K413">
            <v>9.8218967309664294E-4</v>
          </cell>
        </row>
        <row r="414">
          <cell r="B414" t="str">
            <v>D-EH2R</v>
          </cell>
          <cell r="C414" t="str">
            <v>VAR_cap</v>
          </cell>
          <cell r="D414" t="str">
            <v>-</v>
          </cell>
          <cell r="I414">
            <v>2.3999876434833399E-6</v>
          </cell>
          <cell r="J414">
            <v>7.4664101741691495E-4</v>
          </cell>
          <cell r="K414">
            <v>1.23778448274964E-3</v>
          </cell>
        </row>
        <row r="415">
          <cell r="B415" t="str">
            <v>G-INTC1</v>
          </cell>
          <cell r="C415" t="str">
            <v>VAR_fout</v>
          </cell>
          <cell r="D415" t="str">
            <v>ELC13</v>
          </cell>
          <cell r="I415">
            <v>141.75210903738315</v>
          </cell>
          <cell r="J415">
            <v>101.94936686847504</v>
          </cell>
          <cell r="K415">
            <v>72.645665483056646</v>
          </cell>
        </row>
        <row r="416">
          <cell r="B416" t="str">
            <v>G-INTC1</v>
          </cell>
          <cell r="C416" t="str">
            <v>VAR_fin</v>
          </cell>
          <cell r="D416" t="str">
            <v>ELC</v>
          </cell>
          <cell r="I416">
            <v>144.06815238081501</v>
          </cell>
          <cell r="J416">
            <v>103.24423711238097</v>
          </cell>
          <cell r="K416">
            <v>73.045472339763805</v>
          </cell>
        </row>
        <row r="417">
          <cell r="B417" t="str">
            <v>G-INTC1</v>
          </cell>
          <cell r="C417" t="str">
            <v>VAR_ncap</v>
          </cell>
          <cell r="D417" t="str">
            <v>-</v>
          </cell>
          <cell r="I417">
            <v>7.5919787789644599E-7</v>
          </cell>
          <cell r="J417">
            <v>1.1953404476796E-6</v>
          </cell>
          <cell r="K417">
            <v>4.2225907072912001E-6</v>
          </cell>
        </row>
        <row r="418">
          <cell r="B418" t="str">
            <v>G-INTC1</v>
          </cell>
          <cell r="C418" t="str">
            <v>VAR_cap</v>
          </cell>
          <cell r="D418" t="str">
            <v>-</v>
          </cell>
          <cell r="I418">
            <v>15.305610194767203</v>
          </cell>
          <cell r="J418">
            <v>15.305610562143684</v>
          </cell>
          <cell r="K418">
            <v>15.305612965028372</v>
          </cell>
        </row>
        <row r="419">
          <cell r="B419" t="str">
            <v>EHYD-RUNS00</v>
          </cell>
          <cell r="C419" t="str">
            <v>VAR_fout</v>
          </cell>
          <cell r="D419" t="str">
            <v>ELC35</v>
          </cell>
          <cell r="I419">
            <v>12.256772686478108</v>
          </cell>
          <cell r="J419">
            <v>12.264388094653894</v>
          </cell>
          <cell r="K419">
            <v>12.280320476836764</v>
          </cell>
        </row>
        <row r="420">
          <cell r="B420" t="str">
            <v>EHYD-RUNS00</v>
          </cell>
          <cell r="C420" t="str">
            <v>VAR_fin</v>
          </cell>
          <cell r="D420" t="str">
            <v>HYDR</v>
          </cell>
          <cell r="I420">
            <v>12.256772686478108</v>
          </cell>
          <cell r="J420">
            <v>12.264388094653894</v>
          </cell>
          <cell r="K420">
            <v>12.280320476836764</v>
          </cell>
        </row>
        <row r="421">
          <cell r="B421" t="str">
            <v>EHYD-RUNS00</v>
          </cell>
          <cell r="C421" t="str">
            <v>VAR_cap</v>
          </cell>
          <cell r="D421" t="str">
            <v>-</v>
          </cell>
          <cell r="I421">
            <v>0.89707999999999899</v>
          </cell>
          <cell r="J421">
            <v>0.89707999999999899</v>
          </cell>
          <cell r="K421">
            <v>0.89707999999999899</v>
          </cell>
        </row>
        <row r="422">
          <cell r="B422" t="str">
            <v>RHNS-SHSTG-CHPWOD</v>
          </cell>
          <cell r="C422" t="str">
            <v>VAR_fout</v>
          </cell>
          <cell r="D422" t="str">
            <v>AUX_RNS-CHPWOD_OUT</v>
          </cell>
          <cell r="I422">
            <v>4.6069166497352942E-3</v>
          </cell>
          <cell r="J422">
            <v>2.2470385156783917E-3</v>
          </cell>
          <cell r="K422">
            <v>2.7686179072813405E-3</v>
          </cell>
        </row>
        <row r="423">
          <cell r="B423" t="str">
            <v>RHNS-SHSTG-CHPWOD</v>
          </cell>
          <cell r="C423" t="str">
            <v>VAR_fout</v>
          </cell>
          <cell r="D423" t="str">
            <v>RHNS_LTH_CHPWOD</v>
          </cell>
          <cell r="I423">
            <v>4.6111509481265847E-3</v>
          </cell>
          <cell r="J423">
            <v>2.2470385156783839E-3</v>
          </cell>
          <cell r="K423">
            <v>2.7686179072813392E-3</v>
          </cell>
        </row>
        <row r="424">
          <cell r="B424" t="str">
            <v>RHNS-SHSTG-CHPWOD</v>
          </cell>
          <cell r="C424" t="str">
            <v>VAR_fin</v>
          </cell>
          <cell r="D424" t="str">
            <v>AUX_RNS-CHPWOD_IN</v>
          </cell>
          <cell r="I424">
            <v>5.5958482211228731E-3</v>
          </cell>
          <cell r="J424">
            <v>2.6501411351644386E-3</v>
          </cell>
          <cell r="K424">
            <v>3.0829100803041079E-3</v>
          </cell>
        </row>
        <row r="425">
          <cell r="B425" t="str">
            <v>RHNS-SHSTG-CHPWOD</v>
          </cell>
          <cell r="C425" t="str">
            <v>VAR_fin</v>
          </cell>
          <cell r="D425" t="str">
            <v>RHNS_LTH_CHPWOD</v>
          </cell>
          <cell r="I425">
            <v>5.5958482211228731E-3</v>
          </cell>
          <cell r="J425">
            <v>2.6501411351644386E-3</v>
          </cell>
          <cell r="K425">
            <v>3.0829100803041079E-3</v>
          </cell>
        </row>
        <row r="426">
          <cell r="B426" t="str">
            <v>RHNS-SHSTG-CHPWOD</v>
          </cell>
          <cell r="C426" t="str">
            <v>VAR_ncap</v>
          </cell>
          <cell r="D426" t="str">
            <v>-</v>
          </cell>
          <cell r="I426">
            <v>4.1449026590588602E-3</v>
          </cell>
          <cell r="J426">
            <v>2.6928372708397098E-4</v>
          </cell>
          <cell r="K426">
            <v>5.5710463807000005E-4</v>
          </cell>
        </row>
        <row r="427">
          <cell r="B427" t="str">
            <v>RHNS-SHSTG-CHPWOD</v>
          </cell>
          <cell r="C427" t="str">
            <v>VAR_cap</v>
          </cell>
          <cell r="D427" t="str">
            <v>-</v>
          </cell>
          <cell r="I427">
            <v>5.1161987988096935E-3</v>
          </cell>
          <cell r="J427">
            <v>4.4501605865710997E-3</v>
          </cell>
          <cell r="K427">
            <v>2.4812867660359934E-3</v>
          </cell>
        </row>
        <row r="428">
          <cell r="B428" t="str">
            <v>HPLOIL</v>
          </cell>
          <cell r="C428" t="str">
            <v>VAR_fout</v>
          </cell>
          <cell r="D428" t="str">
            <v>LTH</v>
          </cell>
          <cell r="I428">
            <v>1.4419585299263034E-4</v>
          </cell>
          <cell r="J428">
            <v>3.2596720046089173E-4</v>
          </cell>
          <cell r="K428">
            <v>7.2182551152279111E-6</v>
          </cell>
        </row>
        <row r="429">
          <cell r="B429" t="str">
            <v>HPLOIL</v>
          </cell>
          <cell r="C429" t="str">
            <v>VAR_fout</v>
          </cell>
          <cell r="D429" t="str">
            <v>CO2_E</v>
          </cell>
          <cell r="I429">
            <v>1.2437441676109801E-2</v>
          </cell>
          <cell r="J429">
            <v>2.8115912905375601E-2</v>
          </cell>
          <cell r="K429">
            <v>6.2260200370337104E-4</v>
          </cell>
        </row>
        <row r="430">
          <cell r="B430" t="str">
            <v>HPLOIL</v>
          </cell>
          <cell r="C430" t="str">
            <v>VAR_fin</v>
          </cell>
          <cell r="D430" t="str">
            <v>ELFO</v>
          </cell>
          <cell r="I430">
            <v>1.6875768895671368E-4</v>
          </cell>
          <cell r="J430">
            <v>3.8149135556818972E-4</v>
          </cell>
          <cell r="K430">
            <v>8.4477883813211847E-6</v>
          </cell>
        </row>
        <row r="431">
          <cell r="B431" t="str">
            <v>HPLOIL</v>
          </cell>
          <cell r="C431" t="str">
            <v>VAR_ncap</v>
          </cell>
          <cell r="D431" t="str">
            <v>-</v>
          </cell>
          <cell r="I431">
            <v>8.7878549844794696E-4</v>
          </cell>
          <cell r="J431">
            <v>4.4464589645158898E-5</v>
          </cell>
          <cell r="K431">
            <v>2.8389232226688199E-5</v>
          </cell>
        </row>
        <row r="432">
          <cell r="B432" t="str">
            <v>HPLOIL</v>
          </cell>
          <cell r="C432" t="str">
            <v>VAR_cap</v>
          </cell>
          <cell r="D432" t="str">
            <v>-</v>
          </cell>
          <cell r="I432">
            <v>9.6665439955355989E-4</v>
          </cell>
          <cell r="J432">
            <v>9.6343818761996335E-4</v>
          </cell>
          <cell r="K432">
            <v>7.6499980123672891E-4</v>
          </cell>
        </row>
        <row r="433">
          <cell r="B433" t="str">
            <v>V2G</v>
          </cell>
          <cell r="C433" t="str">
            <v>VAR_fout</v>
          </cell>
          <cell r="D433" t="str">
            <v>ELC35</v>
          </cell>
          <cell r="I433">
            <v>0.17959703327447527</v>
          </cell>
          <cell r="J433">
            <v>1.5136318493233853</v>
          </cell>
          <cell r="K433">
            <v>1.6271337627161935</v>
          </cell>
        </row>
        <row r="434">
          <cell r="B434" t="str">
            <v>V2G</v>
          </cell>
          <cell r="C434" t="str">
            <v>VAR_fin</v>
          </cell>
          <cell r="D434" t="str">
            <v>T-ELC-Bus_c_BatSTGout_S1</v>
          </cell>
          <cell r="I434">
            <v>3.9322180325329905E-3</v>
          </cell>
          <cell r="J434">
            <v>1.9181447226047871E-3</v>
          </cell>
          <cell r="K434">
            <v>9.2954130449723264E-4</v>
          </cell>
        </row>
        <row r="435">
          <cell r="B435" t="str">
            <v>V2G</v>
          </cell>
          <cell r="C435" t="str">
            <v>VAR_fin</v>
          </cell>
          <cell r="D435" t="str">
            <v>T-ELC-Bus_c_BatSTGout_S2</v>
          </cell>
          <cell r="I435">
            <v>3.692757440937171E-3</v>
          </cell>
          <cell r="J435">
            <v>2.6031997216528469E-3</v>
          </cell>
          <cell r="K435">
            <v>9.590774427036781E-4</v>
          </cell>
        </row>
        <row r="436">
          <cell r="B436" t="str">
            <v>V2G</v>
          </cell>
          <cell r="C436" t="str">
            <v>VAR_fin</v>
          </cell>
          <cell r="D436" t="str">
            <v>T-ELC-Bus_c_BatSTGout_S3</v>
          </cell>
          <cell r="I436">
            <v>1.7728613853362479E-3</v>
          </cell>
          <cell r="J436">
            <v>1.5524067155027676E-3</v>
          </cell>
          <cell r="K436">
            <v>8.0270392617239083E-4</v>
          </cell>
        </row>
        <row r="437">
          <cell r="B437" t="str">
            <v>V2G</v>
          </cell>
          <cell r="C437" t="str">
            <v>VAR_fin</v>
          </cell>
          <cell r="D437" t="str">
            <v>T-ELC-Bus_c_BatSTGout_S4</v>
          </cell>
          <cell r="I437">
            <v>5.5097245046765216E-4</v>
          </cell>
          <cell r="J437">
            <v>8.2508138695022758E-4</v>
          </cell>
          <cell r="K437">
            <v>4.687330692435049E-4</v>
          </cell>
        </row>
        <row r="438">
          <cell r="B438" t="str">
            <v>V2G</v>
          </cell>
          <cell r="C438" t="str">
            <v>VAR_fin</v>
          </cell>
          <cell r="D438" t="str">
            <v>T-ELC-car-BatSTGOut_S1</v>
          </cell>
          <cell r="I438">
            <v>2.8725727624675537E-2</v>
          </cell>
          <cell r="J438">
            <v>0.55344768140264744</v>
          </cell>
          <cell r="K438">
            <v>0.55959677909623462</v>
          </cell>
        </row>
        <row r="439">
          <cell r="B439" t="str">
            <v>V2G</v>
          </cell>
          <cell r="C439" t="str">
            <v>VAR_fin</v>
          </cell>
          <cell r="D439" t="str">
            <v>T-ELC-car-BatSTGOut_S2</v>
          </cell>
          <cell r="I439">
            <v>1.6182373809433312E-2</v>
          </cell>
          <cell r="J439">
            <v>0.18815016249596569</v>
          </cell>
          <cell r="K439">
            <v>0.18441699040542242</v>
          </cell>
        </row>
        <row r="440">
          <cell r="B440" t="str">
            <v>V2G</v>
          </cell>
          <cell r="C440" t="str">
            <v>VAR_fin</v>
          </cell>
          <cell r="D440" t="str">
            <v>T-ELC-car-BatSTGOut_S3</v>
          </cell>
          <cell r="I440">
            <v>1.9652932173622118E-2</v>
          </cell>
          <cell r="J440">
            <v>0.18490880414982627</v>
          </cell>
          <cell r="K440">
            <v>0.18137074743082768</v>
          </cell>
        </row>
        <row r="441">
          <cell r="B441" t="str">
            <v>V2G</v>
          </cell>
          <cell r="C441" t="str">
            <v>VAR_fin</v>
          </cell>
          <cell r="D441" t="str">
            <v>T-ELC-car-BatSTGOut_S4</v>
          </cell>
          <cell r="I441">
            <v>1.5697972702908541E-2</v>
          </cell>
          <cell r="J441">
            <v>0.19099365612988456</v>
          </cell>
          <cell r="K441">
            <v>0.17488539638149453</v>
          </cell>
        </row>
        <row r="442">
          <cell r="B442" t="str">
            <v>V2G</v>
          </cell>
          <cell r="C442" t="str">
            <v>VAR_fin</v>
          </cell>
          <cell r="D442" t="str">
            <v>T-ELC-car-PlgSTGOut_S1</v>
          </cell>
          <cell r="I442">
            <v>6.0369411176145202E-3</v>
          </cell>
          <cell r="J442">
            <v>4.6703995538946537E-3</v>
          </cell>
          <cell r="K442">
            <v>9.72546441977123E-4</v>
          </cell>
        </row>
        <row r="443">
          <cell r="B443" t="str">
            <v>V2G</v>
          </cell>
          <cell r="C443" t="str">
            <v>VAR_fin</v>
          </cell>
          <cell r="D443" t="str">
            <v>T-ELC-car-PlgSTGOut_S2</v>
          </cell>
          <cell r="I443">
            <v>8.0325531591105004E-4</v>
          </cell>
          <cell r="J443">
            <v>8.4471494130327349E-4</v>
          </cell>
          <cell r="K443">
            <v>2.5960865402233865E-3</v>
          </cell>
        </row>
        <row r="444">
          <cell r="B444" t="str">
            <v>V2G</v>
          </cell>
          <cell r="C444" t="str">
            <v>VAR_fin</v>
          </cell>
          <cell r="D444" t="str">
            <v>T-ELC-car-PlgSTGOut_S3</v>
          </cell>
          <cell r="I444">
            <v>2.1898450529478159E-2</v>
          </cell>
          <cell r="J444">
            <v>0.26329249831105789</v>
          </cell>
          <cell r="K444">
            <v>0.43780225469208645</v>
          </cell>
        </row>
        <row r="445">
          <cell r="B445" t="str">
            <v>V2G</v>
          </cell>
          <cell r="C445" t="str">
            <v>VAR_fin</v>
          </cell>
          <cell r="D445" t="str">
            <v>T-ELC-TWSTGout_S1</v>
          </cell>
          <cell r="I445">
            <v>4.4716042032570229E-3</v>
          </cell>
          <cell r="J445">
            <v>2.984210360519806E-3</v>
          </cell>
          <cell r="K445">
            <v>1.8399657404155698E-3</v>
          </cell>
        </row>
        <row r="446">
          <cell r="B446" t="str">
            <v>V2G</v>
          </cell>
          <cell r="C446" t="str">
            <v>VAR_fin</v>
          </cell>
          <cell r="D446" t="str">
            <v>T-ELC-car-PlgSTGOut_S4</v>
          </cell>
          <cell r="I446">
            <v>4.7402730941617571E-3</v>
          </cell>
          <cell r="J446">
            <v>9.5676403190503214E-3</v>
          </cell>
          <cell r="K446">
            <v>3.0396731834969283E-3</v>
          </cell>
        </row>
        <row r="447">
          <cell r="B447" t="str">
            <v>V2G</v>
          </cell>
          <cell r="C447" t="str">
            <v>VAR_fin</v>
          </cell>
          <cell r="D447" t="str">
            <v>T-ELC-TWSTGout_S2</v>
          </cell>
          <cell r="I447">
            <v>9.6005634993201229E-3</v>
          </cell>
          <cell r="J447">
            <v>8.3397414925002085E-3</v>
          </cell>
          <cell r="K447">
            <v>5.5841006379661268E-3</v>
          </cell>
        </row>
        <row r="448">
          <cell r="B448" t="str">
            <v>V2G</v>
          </cell>
          <cell r="C448" t="str">
            <v>VAR_fin</v>
          </cell>
          <cell r="D448" t="str">
            <v>T-ELC-TWSTGout_S3</v>
          </cell>
          <cell r="I448">
            <v>1.4190198581101461E-2</v>
          </cell>
          <cell r="J448">
            <v>1.3830376871410217E-2</v>
          </cell>
          <cell r="K448">
            <v>9.1320389745004078E-3</v>
          </cell>
        </row>
        <row r="449">
          <cell r="B449" t="str">
            <v>V2G</v>
          </cell>
          <cell r="C449" t="str">
            <v>VAR_fin</v>
          </cell>
          <cell r="D449" t="str">
            <v>T-ELC-TWSTGout_S4</v>
          </cell>
          <cell r="I449">
            <v>1.4348685907635769E-2</v>
          </cell>
          <cell r="J449">
            <v>1.6156651547266278E-2</v>
          </cell>
          <cell r="K449">
            <v>1.3450341184914796E-2</v>
          </cell>
        </row>
        <row r="450">
          <cell r="B450" t="str">
            <v>V2G</v>
          </cell>
          <cell r="C450" t="str">
            <v>VAR_fin</v>
          </cell>
          <cell r="D450" t="str">
            <v>T-ELC-Bus_u_BatSTGout_S1</v>
          </cell>
          <cell r="I450">
            <v>5.8246182193777407E-4</v>
          </cell>
          <cell r="J450">
            <v>4.4582998942852535E-4</v>
          </cell>
          <cell r="K450">
            <v>3.0213637138460953E-4</v>
          </cell>
        </row>
        <row r="451">
          <cell r="B451" t="str">
            <v>V2G</v>
          </cell>
          <cell r="C451" t="str">
            <v>VAR_fin</v>
          </cell>
          <cell r="D451" t="str">
            <v>T-ELC-Bus_u_BatSTGout_S2</v>
          </cell>
          <cell r="I451">
            <v>5.3742525400866221E-4</v>
          </cell>
          <cell r="J451">
            <v>4.2431256771911839E-4</v>
          </cell>
          <cell r="K451">
            <v>2.879004856380415E-4</v>
          </cell>
        </row>
        <row r="452">
          <cell r="B452" t="str">
            <v>V2G</v>
          </cell>
          <cell r="C452" t="str">
            <v>VAR_fin</v>
          </cell>
          <cell r="D452" t="str">
            <v>T-ELC-Bus_u_BatSTGout_S3</v>
          </cell>
          <cell r="I452">
            <v>2.164639425940722E-4</v>
          </cell>
          <cell r="J452">
            <v>1.8817645852203183E-4</v>
          </cell>
          <cell r="K452">
            <v>1.4802767165742638E-4</v>
          </cell>
        </row>
        <row r="453">
          <cell r="B453" t="str">
            <v>V2G</v>
          </cell>
          <cell r="C453" t="str">
            <v>VAR_fin</v>
          </cell>
          <cell r="D453" t="str">
            <v>T-ELC-Bus_u_BatSTGout_S4</v>
          </cell>
          <cell r="I453">
            <v>4.6481266634360258E-4</v>
          </cell>
          <cell r="J453">
            <v>5.3128377907287058E-4</v>
          </cell>
          <cell r="K453">
            <v>3.3238779538811969E-4</v>
          </cell>
        </row>
        <row r="454">
          <cell r="B454" t="str">
            <v>V2G</v>
          </cell>
          <cell r="C454" t="str">
            <v>VAR_fin</v>
          </cell>
          <cell r="D454" t="str">
            <v>T-ELC-LGV_BatSTGout</v>
          </cell>
          <cell r="I454">
            <v>1.322609828859947E-3</v>
          </cell>
          <cell r="J454">
            <v>1.1022928404390898E-3</v>
          </cell>
          <cell r="K454">
            <v>6.3792052085913115E-4</v>
          </cell>
        </row>
        <row r="455">
          <cell r="B455" t="str">
            <v>V2G</v>
          </cell>
          <cell r="C455" t="str">
            <v>VAR_fin</v>
          </cell>
          <cell r="D455" t="str">
            <v>T-ELC-HGV_BatSTGout</v>
          </cell>
          <cell r="I455">
            <v>1.0417857567302204E-2</v>
          </cell>
          <cell r="J455">
            <v>6.7079010996423383E-2</v>
          </cell>
          <cell r="K455">
            <v>4.776299682286745E-2</v>
          </cell>
        </row>
        <row r="456">
          <cell r="B456" t="str">
            <v>V2G</v>
          </cell>
          <cell r="C456" t="str">
            <v>VAR_ncap</v>
          </cell>
          <cell r="D456" t="str">
            <v>-</v>
          </cell>
          <cell r="I456">
            <v>0.52120809700566395</v>
          </cell>
          <cell r="J456">
            <v>4.3961097183179501</v>
          </cell>
          <cell r="K456">
            <v>2.5002328020501201</v>
          </cell>
        </row>
        <row r="457">
          <cell r="B457" t="str">
            <v>V2G</v>
          </cell>
          <cell r="C457" t="str">
            <v>VAR_cap</v>
          </cell>
          <cell r="D457" t="str">
            <v>-</v>
          </cell>
          <cell r="I457">
            <v>0.53718660620181291</v>
          </cell>
          <cell r="J457">
            <v>4.9282112524145036</v>
          </cell>
          <cell r="K457">
            <v>5.9110918564545294</v>
          </cell>
        </row>
        <row r="458">
          <cell r="B458" t="str">
            <v>D-EBIO</v>
          </cell>
          <cell r="C458" t="str">
            <v>VAR_fout</v>
          </cell>
          <cell r="D458" t="str">
            <v>EBIO</v>
          </cell>
          <cell r="I458">
            <v>1.1840004193713671</v>
          </cell>
          <cell r="J458">
            <v>1.1839969357448774</v>
          </cell>
          <cell r="K458">
            <v>1.1840069425798589</v>
          </cell>
        </row>
        <row r="459">
          <cell r="B459" t="str">
            <v>D-EBIO</v>
          </cell>
          <cell r="C459" t="str">
            <v>VAR_fin</v>
          </cell>
          <cell r="D459" t="str">
            <v>BIO</v>
          </cell>
          <cell r="I459">
            <v>1.1840004193713671</v>
          </cell>
          <cell r="J459">
            <v>1.1839969357448774</v>
          </cell>
          <cell r="K459">
            <v>1.1840069425798589</v>
          </cell>
        </row>
        <row r="460">
          <cell r="B460" t="str">
            <v>G-INTC3</v>
          </cell>
          <cell r="C460" t="str">
            <v>VAR_fout</v>
          </cell>
          <cell r="D460" t="str">
            <v>ELC35</v>
          </cell>
          <cell r="I460">
            <v>83.604861390075214</v>
          </cell>
          <cell r="J460">
            <v>108.6692083264542</v>
          </cell>
          <cell r="K460">
            <v>86.273363159380835</v>
          </cell>
        </row>
        <row r="461">
          <cell r="B461" t="str">
            <v>G-INTC3</v>
          </cell>
          <cell r="C461" t="str">
            <v>VAR_fout</v>
          </cell>
          <cell r="D461" t="str">
            <v>ELC3</v>
          </cell>
          <cell r="I461">
            <v>103.62978818421512</v>
          </cell>
          <cell r="J461">
            <v>39.977495934393239</v>
          </cell>
          <cell r="K461">
            <v>38.976666193714507</v>
          </cell>
        </row>
        <row r="462">
          <cell r="B462" t="str">
            <v>G-INTC3</v>
          </cell>
          <cell r="C462" t="str">
            <v>VAR_fout</v>
          </cell>
          <cell r="D462" t="str">
            <v>ELC</v>
          </cell>
          <cell r="I462">
            <v>8.4615377210341906E-3</v>
          </cell>
          <cell r="J462">
            <v>1.8708219708128566</v>
          </cell>
          <cell r="K462">
            <v>3.6810645656846703</v>
          </cell>
        </row>
        <row r="463">
          <cell r="B463" t="str">
            <v>G-INTC3</v>
          </cell>
          <cell r="C463" t="str">
            <v>VAR_fin</v>
          </cell>
          <cell r="D463" t="str">
            <v>ELC13</v>
          </cell>
          <cell r="I463">
            <v>193.3058167042046</v>
          </cell>
          <cell r="J463">
            <v>154.55385091559899</v>
          </cell>
          <cell r="K463">
            <v>130.97717048367562</v>
          </cell>
        </row>
        <row r="464">
          <cell r="B464" t="str">
            <v>G-INTC3</v>
          </cell>
          <cell r="C464" t="str">
            <v>VAR_ncap</v>
          </cell>
          <cell r="D464" t="str">
            <v>-</v>
          </cell>
          <cell r="I464">
            <v>1.0762942070176399E-6</v>
          </cell>
          <cell r="J464">
            <v>1.63758900949124E-6</v>
          </cell>
          <cell r="K464">
            <v>5.7009708081939698E-6</v>
          </cell>
        </row>
        <row r="465">
          <cell r="B465" t="str">
            <v>G-INTC3</v>
          </cell>
          <cell r="C465" t="str">
            <v>VAR_cap</v>
          </cell>
          <cell r="D465" t="str">
            <v>-</v>
          </cell>
          <cell r="I465">
            <v>13.914192194726498</v>
          </cell>
          <cell r="J465">
            <v>13.91419271818727</v>
          </cell>
          <cell r="K465">
            <v>13.914196029255027</v>
          </cell>
        </row>
        <row r="466">
          <cell r="B466" t="str">
            <v>HPLBIO</v>
          </cell>
          <cell r="C466" t="str">
            <v>VAR_fout</v>
          </cell>
          <cell r="D466" t="str">
            <v>LTH</v>
          </cell>
          <cell r="I466">
            <v>0.90181269880743598</v>
          </cell>
          <cell r="J466">
            <v>0.90181004544806687</v>
          </cell>
          <cell r="K466">
            <v>0.90181766731264856</v>
          </cell>
        </row>
        <row r="467">
          <cell r="B467" t="str">
            <v>HPLBIO</v>
          </cell>
          <cell r="C467" t="str">
            <v>VAR_fin</v>
          </cell>
          <cell r="D467" t="str">
            <v>EBIO</v>
          </cell>
          <cell r="I467">
            <v>1.1840004193713671</v>
          </cell>
          <cell r="J467">
            <v>1.1839969357448774</v>
          </cell>
          <cell r="K467">
            <v>1.1840069425798589</v>
          </cell>
        </row>
        <row r="468">
          <cell r="B468" t="str">
            <v>HPLBIO</v>
          </cell>
          <cell r="C468" t="str">
            <v>VAR_ncap</v>
          </cell>
          <cell r="D468" t="str">
            <v>-</v>
          </cell>
          <cell r="I468">
            <v>5.14654928172152E-2</v>
          </cell>
          <cell r="J468">
            <v>1.2825746864634301E-4</v>
          </cell>
          <cell r="K468">
            <v>5.87926988686878E-2</v>
          </cell>
        </row>
        <row r="469">
          <cell r="B469" t="str">
            <v>HPLBIO</v>
          </cell>
          <cell r="C469" t="str">
            <v>VAR_cap</v>
          </cell>
          <cell r="D469" t="str">
            <v>-</v>
          </cell>
          <cell r="I469">
            <v>0.11440554362378062</v>
          </cell>
          <cell r="J469">
            <v>0.11447219037256669</v>
          </cell>
          <cell r="K469">
            <v>0.11626239150853536</v>
          </cell>
        </row>
        <row r="470">
          <cell r="B470" t="str">
            <v>G-INTC5</v>
          </cell>
          <cell r="C470" t="str">
            <v>VAR_fout</v>
          </cell>
          <cell r="D470" t="str">
            <v>ELC5</v>
          </cell>
          <cell r="I470">
            <v>92.443235104189341</v>
          </cell>
          <cell r="J470">
            <v>115.31282151726298</v>
          </cell>
          <cell r="K470">
            <v>109.92300970985058</v>
          </cell>
        </row>
        <row r="471">
          <cell r="B471" t="str">
            <v>G-INTC5</v>
          </cell>
          <cell r="C471" t="str">
            <v>VAR_fout</v>
          </cell>
          <cell r="D471" t="str">
            <v>ELC13</v>
          </cell>
          <cell r="I471">
            <v>7.5220549951439362E-3</v>
          </cell>
          <cell r="J471">
            <v>0.76031780844282681</v>
          </cell>
          <cell r="K471">
            <v>2.8890804435872215</v>
          </cell>
        </row>
        <row r="472">
          <cell r="B472" t="str">
            <v>G-INTC5</v>
          </cell>
          <cell r="C472" t="str">
            <v>VAR_fin</v>
          </cell>
          <cell r="D472" t="str">
            <v>ELC35</v>
          </cell>
          <cell r="I472">
            <v>95.918807835325467</v>
          </cell>
          <cell r="J472">
            <v>119.99630128174286</v>
          </cell>
          <cell r="K472">
            <v>115.79614025858353</v>
          </cell>
        </row>
        <row r="473">
          <cell r="B473" t="str">
            <v>G-INTC5</v>
          </cell>
          <cell r="C473" t="str">
            <v>VAR_ncap</v>
          </cell>
          <cell r="D473" t="str">
            <v>-</v>
          </cell>
          <cell r="I473">
            <v>1.5828974840091701</v>
          </cell>
          <cell r="J473">
            <v>1.2876219971994101</v>
          </cell>
          <cell r="K473">
            <v>0.955636699611495</v>
          </cell>
        </row>
        <row r="474">
          <cell r="B474" t="str">
            <v>G-INTC5</v>
          </cell>
          <cell r="C474" t="str">
            <v>VAR_cap</v>
          </cell>
          <cell r="D474" t="str">
            <v>-</v>
          </cell>
          <cell r="I474">
            <v>13.141574378173626</v>
          </cell>
          <cell r="J474">
            <v>14.693550245785492</v>
          </cell>
          <cell r="K474">
            <v>17.31715959952534</v>
          </cell>
        </row>
        <row r="475">
          <cell r="B475" t="str">
            <v>D-SLFO</v>
          </cell>
          <cell r="C475" t="str">
            <v>VAR_fout</v>
          </cell>
          <cell r="D475" t="str">
            <v>CO2</v>
          </cell>
          <cell r="I475">
            <v>882.50992071701103</v>
          </cell>
          <cell r="J475">
            <v>507.41084251406897</v>
          </cell>
          <cell r="K475">
            <v>6.8499625310039795E-4</v>
          </cell>
        </row>
        <row r="476">
          <cell r="B476" t="str">
            <v>D-SLFO</v>
          </cell>
          <cell r="C476" t="str">
            <v>VAR_fout</v>
          </cell>
          <cell r="D476" t="str">
            <v>SLFO</v>
          </cell>
          <cell r="I476">
            <v>11.775886115214812</v>
          </cell>
          <cell r="J476">
            <v>6.7708974899819578</v>
          </cell>
          <cell r="K476">
            <v>1.2715856029266797</v>
          </cell>
        </row>
        <row r="477">
          <cell r="B477" t="str">
            <v>D-SLFO</v>
          </cell>
          <cell r="C477" t="str">
            <v>VAR_fin</v>
          </cell>
          <cell r="D477" t="str">
            <v>LFO</v>
          </cell>
          <cell r="I477">
            <v>11.97435441949813</v>
          </cell>
          <cell r="J477">
            <v>6.8848146881149059</v>
          </cell>
          <cell r="K477">
            <v>9.2943860664911601E-6</v>
          </cell>
        </row>
        <row r="478">
          <cell r="B478" t="str">
            <v>D-SLFO</v>
          </cell>
          <cell r="C478" t="str">
            <v>VAR_fin</v>
          </cell>
          <cell r="D478" t="str">
            <v>BDS</v>
          </cell>
          <cell r="I478">
            <v>1.546779672945815E-3</v>
          </cell>
          <cell r="J478">
            <v>1.0877135258887962E-3</v>
          </cell>
          <cell r="K478">
            <v>1.2931766321150597</v>
          </cell>
        </row>
        <row r="479">
          <cell r="B479" t="str">
            <v>D-RCOA</v>
          </cell>
          <cell r="C479" t="str">
            <v>VAR_fout</v>
          </cell>
          <cell r="D479" t="str">
            <v>CO2</v>
          </cell>
        </row>
        <row r="480">
          <cell r="B480" t="str">
            <v>D-RCOA</v>
          </cell>
          <cell r="C480" t="str">
            <v>VAR_fout</v>
          </cell>
          <cell r="D480" t="str">
            <v>RCOA</v>
          </cell>
          <cell r="K480"/>
        </row>
        <row r="481">
          <cell r="B481" t="str">
            <v>D-RCOA</v>
          </cell>
          <cell r="C481" t="str">
            <v>VAR_fin</v>
          </cell>
          <cell r="D481" t="str">
            <v>COA</v>
          </cell>
        </row>
        <row r="482">
          <cell r="B482" t="str">
            <v>EHYD-RUN00</v>
          </cell>
          <cell r="C482" t="str">
            <v>VAR_fout</v>
          </cell>
          <cell r="D482" t="str">
            <v>ELC13</v>
          </cell>
          <cell r="I482">
            <v>51.056358972555948</v>
          </cell>
          <cell r="J482">
            <v>49.956630965285775</v>
          </cell>
          <cell r="K482">
            <v>47.77393417462423</v>
          </cell>
        </row>
        <row r="483">
          <cell r="B483" t="str">
            <v>EHYD-RUN00</v>
          </cell>
          <cell r="C483" t="str">
            <v>VAR_fin</v>
          </cell>
          <cell r="D483" t="str">
            <v>HYDR</v>
          </cell>
          <cell r="I483">
            <v>51.056358972555948</v>
          </cell>
          <cell r="J483">
            <v>49.956630965285775</v>
          </cell>
          <cell r="K483">
            <v>47.77393417462423</v>
          </cell>
        </row>
        <row r="484">
          <cell r="B484" t="str">
            <v>EHYD-RUN00</v>
          </cell>
          <cell r="C484" t="str">
            <v>VAR_cap</v>
          </cell>
          <cell r="D484" t="str">
            <v>-</v>
          </cell>
          <cell r="I484">
            <v>3.9647700000000001</v>
          </cell>
          <cell r="J484">
            <v>3.9647700000000001</v>
          </cell>
          <cell r="K484">
            <v>3.9647700000000001</v>
          </cell>
        </row>
        <row r="485">
          <cell r="B485" t="str">
            <v>HPLELCHP</v>
          </cell>
          <cell r="C485" t="str">
            <v>VAR_fout</v>
          </cell>
          <cell r="D485" t="str">
            <v>LTH</v>
          </cell>
          <cell r="I485">
            <v>11.345628365877305</v>
          </cell>
          <cell r="J485">
            <v>11.924691039361758</v>
          </cell>
          <cell r="K485">
            <v>13.172277583826935</v>
          </cell>
        </row>
        <row r="486">
          <cell r="B486" t="str">
            <v>HPLELCHP</v>
          </cell>
          <cell r="C486" t="str">
            <v>VAR_fin</v>
          </cell>
          <cell r="D486" t="str">
            <v>ELC35</v>
          </cell>
          <cell r="I486">
            <v>3.7818761219591068</v>
          </cell>
          <cell r="J486">
            <v>3.9748970131205903</v>
          </cell>
          <cell r="K486">
            <v>4.3907591946089761</v>
          </cell>
        </row>
        <row r="487">
          <cell r="B487" t="str">
            <v>HPLELCHP</v>
          </cell>
          <cell r="C487" t="str">
            <v>VAR_fin</v>
          </cell>
          <cell r="D487" t="str">
            <v>WWTPCC</v>
          </cell>
          <cell r="I487">
            <v>22.691256731754599</v>
          </cell>
          <cell r="J487">
            <v>23.849382078723501</v>
          </cell>
          <cell r="K487">
            <v>26.344555167653901</v>
          </cell>
        </row>
        <row r="488">
          <cell r="B488" t="str">
            <v>HPLELCHP</v>
          </cell>
          <cell r="C488" t="str">
            <v>VAR_ncap</v>
          </cell>
          <cell r="D488" t="str">
            <v>-</v>
          </cell>
          <cell r="I488">
            <v>3.40087683681971E-2</v>
          </cell>
          <cell r="J488">
            <v>0.15452810165522801</v>
          </cell>
          <cell r="K488">
            <v>0.52433811163257305</v>
          </cell>
        </row>
        <row r="489">
          <cell r="B489" t="str">
            <v>HPLELCHP</v>
          </cell>
          <cell r="C489" t="str">
            <v>VAR_cap</v>
          </cell>
          <cell r="D489" t="str">
            <v>-</v>
          </cell>
          <cell r="I489">
            <v>0.69877772845170072</v>
          </cell>
          <cell r="J489">
            <v>0.7383621020980683</v>
          </cell>
          <cell r="K489">
            <v>0.81487052624267153</v>
          </cell>
        </row>
        <row r="490">
          <cell r="B490" t="str">
            <v>D-ITOT_LTH</v>
          </cell>
          <cell r="C490" t="str">
            <v>VAR_fout</v>
          </cell>
          <cell r="D490" t="str">
            <v>ITOT_LTH_DH</v>
          </cell>
          <cell r="I490">
            <v>7.6289208385150111</v>
          </cell>
          <cell r="J490">
            <v>7.6289349249741294</v>
          </cell>
          <cell r="K490">
            <v>9.2971242711297979</v>
          </cell>
        </row>
        <row r="491">
          <cell r="B491" t="str">
            <v>D-ITOT_LTH</v>
          </cell>
          <cell r="C491" t="str">
            <v>VAR_fin</v>
          </cell>
          <cell r="D491" t="str">
            <v>LTH</v>
          </cell>
          <cell r="I491">
            <v>8.2772771111959642</v>
          </cell>
          <cell r="J491">
            <v>8.2718667967593777</v>
          </cell>
          <cell r="K491">
            <v>10.067445524784524</v>
          </cell>
        </row>
        <row r="492">
          <cell r="B492" t="str">
            <v>D-ITOT_LTH</v>
          </cell>
          <cell r="C492" t="str">
            <v>VAR_ncap</v>
          </cell>
          <cell r="D492" t="str">
            <v>-</v>
          </cell>
          <cell r="I492">
            <v>1.93356785494637E-7</v>
          </cell>
          <cell r="J492">
            <v>2.24303877601018E-7</v>
          </cell>
          <cell r="K492">
            <v>2.7539100345487498E-7</v>
          </cell>
        </row>
        <row r="493">
          <cell r="B493" t="str">
            <v>D-ITOT_LTH</v>
          </cell>
          <cell r="C493" t="str">
            <v>VAR_cap</v>
          </cell>
          <cell r="D493" t="str">
            <v>-</v>
          </cell>
          <cell r="I493">
            <v>0.79547318124454702</v>
          </cell>
          <cell r="J493">
            <v>0.79547340554842505</v>
          </cell>
          <cell r="K493">
            <v>0.79547368093942805</v>
          </cell>
        </row>
        <row r="494">
          <cell r="B494" t="str">
            <v>D-IH2</v>
          </cell>
          <cell r="C494" t="str">
            <v>VAR_fout</v>
          </cell>
          <cell r="D494" t="str">
            <v>IH2</v>
          </cell>
          <cell r="I494">
            <v>1.7805229167453516</v>
          </cell>
          <cell r="J494">
            <v>1.981043602099688</v>
          </cell>
          <cell r="K494">
            <v>2.6857958849315215</v>
          </cell>
        </row>
        <row r="495">
          <cell r="B495" t="str">
            <v>D-IH2</v>
          </cell>
          <cell r="C495" t="str">
            <v>VAR_fin</v>
          </cell>
          <cell r="D495" t="str">
            <v>H2</v>
          </cell>
          <cell r="I495">
            <v>1.7940876312006888</v>
          </cell>
          <cell r="J495">
            <v>1.9961359609417582</v>
          </cell>
          <cell r="K495">
            <v>2.7062573201210256</v>
          </cell>
        </row>
        <row r="496">
          <cell r="B496" t="str">
            <v>D-IH2</v>
          </cell>
          <cell r="C496" t="str">
            <v>VAR_ncap</v>
          </cell>
          <cell r="D496" t="str">
            <v>-</v>
          </cell>
          <cell r="I496">
            <v>7.1000105635158794E-2</v>
          </cell>
          <cell r="J496">
            <v>0.27556326670189901</v>
          </cell>
          <cell r="K496">
            <v>2.7129373103634599E-2</v>
          </cell>
        </row>
        <row r="497">
          <cell r="B497" t="str">
            <v>D-IH2</v>
          </cell>
          <cell r="C497" t="str">
            <v>VAR_cap</v>
          </cell>
          <cell r="D497" t="str">
            <v>-</v>
          </cell>
          <cell r="I497">
            <v>7.10014368796789E-2</v>
          </cell>
          <cell r="J497">
            <v>0.34656470358157798</v>
          </cell>
          <cell r="K497">
            <v>0.37369407668521298</v>
          </cell>
        </row>
        <row r="498">
          <cell r="B498" t="str">
            <v>RHEM-ESOLPV</v>
          </cell>
          <cell r="C498" t="str">
            <v>VAR_fout</v>
          </cell>
          <cell r="D498" t="str">
            <v>RHEM_SOL_ELC</v>
          </cell>
          <cell r="I498">
            <v>2.058916162702574</v>
          </cell>
          <cell r="J498">
            <v>8.1494965327575173</v>
          </cell>
          <cell r="K498">
            <v>9.0021173297869446</v>
          </cell>
        </row>
        <row r="499">
          <cell r="B499" t="str">
            <v>RHEM-ESOLPV</v>
          </cell>
          <cell r="C499" t="str">
            <v>VAR_fin</v>
          </cell>
          <cell r="D499" t="str">
            <v>SOL</v>
          </cell>
          <cell r="I499">
            <v>2.058916162702574</v>
          </cell>
          <cell r="J499">
            <v>8.1494965327575173</v>
          </cell>
          <cell r="K499">
            <v>9.0021173297869446</v>
          </cell>
        </row>
        <row r="500">
          <cell r="B500" t="str">
            <v>RHEM-ESOLPV</v>
          </cell>
          <cell r="C500" t="str">
            <v>VAR_fin</v>
          </cell>
          <cell r="D500" t="str">
            <v>SOLPVC</v>
          </cell>
          <cell r="I500">
            <v>2.0589161627025701</v>
          </cell>
          <cell r="J500">
            <v>8.1494965327575102</v>
          </cell>
          <cell r="K500">
            <v>9.0021173297869499</v>
          </cell>
        </row>
        <row r="501">
          <cell r="B501" t="str">
            <v>RHEM-ESOLPV</v>
          </cell>
          <cell r="C501" t="str">
            <v>VAR_ncap</v>
          </cell>
          <cell r="D501" t="str">
            <v>-</v>
          </cell>
          <cell r="I501">
            <v>0.117264061041779</v>
          </cell>
          <cell r="J501">
            <v>1.98072585944876</v>
          </cell>
          <cell r="K501">
            <v>0.520867208427372</v>
          </cell>
        </row>
        <row r="502">
          <cell r="B502" t="str">
            <v>RHEM-ESOLPV</v>
          </cell>
          <cell r="C502" t="str">
            <v>VAR_cap</v>
          </cell>
          <cell r="D502" t="str">
            <v>-</v>
          </cell>
          <cell r="I502">
            <v>0.593527807611824</v>
          </cell>
          <cell r="J502">
            <v>2.349265162405302</v>
          </cell>
          <cell r="K502">
            <v>2.5950498558716699</v>
          </cell>
        </row>
        <row r="503">
          <cell r="B503" t="str">
            <v>HPLNUC</v>
          </cell>
          <cell r="C503" t="str">
            <v>VAR_fout</v>
          </cell>
          <cell r="D503" t="str">
            <v>LTH</v>
          </cell>
          <cell r="I503">
            <v>0.64947473103258246</v>
          </cell>
        </row>
        <row r="504">
          <cell r="B504" t="str">
            <v>HPLNUC</v>
          </cell>
          <cell r="C504" t="str">
            <v>VAR_fin</v>
          </cell>
          <cell r="D504" t="str">
            <v>URN</v>
          </cell>
          <cell r="I504">
            <v>0.64947473103258246</v>
          </cell>
        </row>
        <row r="505">
          <cell r="B505" t="str">
            <v>HPLNUC</v>
          </cell>
          <cell r="C505" t="str">
            <v>VAR_cap</v>
          </cell>
          <cell r="D505" t="str">
            <v>-</v>
          </cell>
          <cell r="I505">
            <v>8.85558611937695E-2</v>
          </cell>
          <cell r="J505">
            <v>1.56851844506808E-2</v>
          </cell>
        </row>
        <row r="506">
          <cell r="B506" t="str">
            <v>ITOT-CHPWODCCS</v>
          </cell>
          <cell r="C506" t="str">
            <v>VAR_fout</v>
          </cell>
          <cell r="D506" t="str">
            <v>CO2_O</v>
          </cell>
          <cell r="J506">
            <v>82.985007078317381</v>
          </cell>
          <cell r="K506">
            <v>334.79331395094084</v>
          </cell>
        </row>
        <row r="507">
          <cell r="B507" t="str">
            <v>ITOT-CHPWODCCS</v>
          </cell>
          <cell r="C507" t="str">
            <v>VAR_fout</v>
          </cell>
          <cell r="D507" t="str">
            <v>CO2</v>
          </cell>
          <cell r="J507">
            <v>-82.985007078317395</v>
          </cell>
          <cell r="K507">
            <v>-334.79331395094101</v>
          </cell>
        </row>
        <row r="508">
          <cell r="B508" t="str">
            <v>ITOT-CHPWODCCS</v>
          </cell>
          <cell r="C508" t="str">
            <v>VAR_fout</v>
          </cell>
          <cell r="D508" t="str">
            <v>ITOT_LTH_CHP</v>
          </cell>
          <cell r="J508">
            <v>0.5907595886527599</v>
          </cell>
          <cell r="K508">
            <v>2.4818360869726375</v>
          </cell>
        </row>
        <row r="509">
          <cell r="B509" t="str">
            <v>ITOT-CHPWODCCS</v>
          </cell>
          <cell r="C509" t="str">
            <v>VAR_fout</v>
          </cell>
          <cell r="D509" t="str">
            <v>ITOT_KEV_WOD_ELC_CHP</v>
          </cell>
          <cell r="J509">
            <v>0.27926816918130398</v>
          </cell>
          <cell r="K509">
            <v>1.1732316047506992</v>
          </cell>
        </row>
        <row r="510">
          <cell r="B510" t="str">
            <v>ITOT-CHPWODCCS</v>
          </cell>
          <cell r="C510" t="str">
            <v>VAR_fin</v>
          </cell>
          <cell r="D510" t="str">
            <v>IWOD</v>
          </cell>
          <cell r="J510">
            <v>0.84594503497778395</v>
          </cell>
          <cell r="K510">
            <v>3.3637577321876173</v>
          </cell>
        </row>
        <row r="511">
          <cell r="B511" t="str">
            <v>ITOT-CHPWODCCS</v>
          </cell>
          <cell r="C511" t="str">
            <v>VAR_ncap</v>
          </cell>
          <cell r="D511" t="str">
            <v>-</v>
          </cell>
          <cell r="J511">
            <v>2.0894580460141001E-2</v>
          </cell>
          <cell r="K511">
            <v>3.62914939087573E-2</v>
          </cell>
        </row>
        <row r="512">
          <cell r="B512" t="str">
            <v>ITOT-CHPWODCCS</v>
          </cell>
          <cell r="C512" t="str">
            <v>VAR_cap</v>
          </cell>
          <cell r="D512" t="str">
            <v>-</v>
          </cell>
          <cell r="J512">
            <v>2.0894580460141001E-2</v>
          </cell>
          <cell r="K512">
            <v>5.1455391416000501E-2</v>
          </cell>
        </row>
        <row r="513">
          <cell r="B513" t="str">
            <v>SUP_WODBIO</v>
          </cell>
          <cell r="C513" t="str">
            <v>VAR_fout</v>
          </cell>
          <cell r="D513" t="str">
            <v>ELC35</v>
          </cell>
          <cell r="I513">
            <v>2.7275013444545613E-5</v>
          </cell>
          <cell r="J513">
            <v>8.3662130713199903E-2</v>
          </cell>
          <cell r="K513">
            <v>8.366281571608683E-2</v>
          </cell>
        </row>
        <row r="514">
          <cell r="B514" t="str">
            <v>SUP_WODBIO</v>
          </cell>
          <cell r="C514" t="str">
            <v>VAR_fout</v>
          </cell>
          <cell r="D514" t="str">
            <v>BIO</v>
          </cell>
          <cell r="I514">
            <v>6.8187533611363961E-4</v>
          </cell>
          <cell r="J514">
            <v>2.0915532678299935</v>
          </cell>
          <cell r="K514">
            <v>2.0915703929021685</v>
          </cell>
        </row>
        <row r="515">
          <cell r="B515" t="str">
            <v>SUP_WODBIO</v>
          </cell>
          <cell r="C515" t="str">
            <v>VAR_fout</v>
          </cell>
          <cell r="D515" t="str">
            <v>LTH</v>
          </cell>
          <cell r="I515">
            <v>8.1825040333636764E-5</v>
          </cell>
          <cell r="J515">
            <v>0.25098639213959917</v>
          </cell>
          <cell r="K515">
            <v>0.25098844714826013</v>
          </cell>
        </row>
        <row r="516">
          <cell r="B516" t="str">
            <v>SUP_WODBIO</v>
          </cell>
          <cell r="C516" t="str">
            <v>VAR_fin</v>
          </cell>
          <cell r="D516" t="str">
            <v>CWOD</v>
          </cell>
          <cell r="I516">
            <v>9.2053170375341322E-4</v>
          </cell>
          <cell r="J516">
            <v>2.8235969115704918</v>
          </cell>
          <cell r="K516">
            <v>2.8236200304179273</v>
          </cell>
        </row>
        <row r="517">
          <cell r="B517" t="str">
            <v>SUP_WODBIO</v>
          </cell>
          <cell r="C517" t="str">
            <v>VAR_ncap</v>
          </cell>
          <cell r="D517" t="str">
            <v>-</v>
          </cell>
          <cell r="I517">
            <v>2.60276317212844E-5</v>
          </cell>
          <cell r="J517">
            <v>8.4183613715504202E-2</v>
          </cell>
          <cell r="K517">
            <v>3.9964460003504003E-5</v>
          </cell>
        </row>
        <row r="518">
          <cell r="B518" t="str">
            <v>SUP_WODBIO</v>
          </cell>
          <cell r="C518" t="str">
            <v>VAR_cap</v>
          </cell>
          <cell r="D518" t="str">
            <v>-</v>
          </cell>
          <cell r="I518">
            <v>9.2781373587389355E-5</v>
          </cell>
          <cell r="J518">
            <v>8.4243963227344287E-2</v>
          </cell>
          <cell r="K518">
            <v>8.424390025046409E-2</v>
          </cell>
        </row>
        <row r="519">
          <cell r="B519" t="str">
            <v>D-RLFO</v>
          </cell>
          <cell r="C519" t="str">
            <v>VAR_fout</v>
          </cell>
          <cell r="D519" t="str">
            <v>CO2</v>
          </cell>
          <cell r="I519">
            <v>1206.75144968785</v>
          </cell>
          <cell r="J519">
            <v>509.36703206896198</v>
          </cell>
          <cell r="K519">
            <v>8.0987526642464899E-4</v>
          </cell>
        </row>
        <row r="520">
          <cell r="B520" t="str">
            <v>D-RLFO</v>
          </cell>
          <cell r="C520" t="str">
            <v>VAR_fout</v>
          </cell>
          <cell r="D520" t="str">
            <v>RLFO</v>
          </cell>
          <cell r="I520">
            <v>16.101893122393438</v>
          </cell>
          <cell r="J520">
            <v>6.7970016544948848</v>
          </cell>
          <cell r="K520">
            <v>1.0427186961691888</v>
          </cell>
        </row>
        <row r="521">
          <cell r="B521" t="str">
            <v>D-RLFO</v>
          </cell>
          <cell r="C521" t="str">
            <v>VAR_fin</v>
          </cell>
          <cell r="D521" t="str">
            <v>LFO</v>
          </cell>
          <cell r="I521">
            <v>16.373832424529866</v>
          </cell>
          <cell r="J521">
            <v>6.9113572872315006</v>
          </cell>
          <cell r="K521">
            <v>1.0988809585137694E-5</v>
          </cell>
        </row>
        <row r="522">
          <cell r="B522" t="str">
            <v>D-RLFO</v>
          </cell>
          <cell r="C522" t="str">
            <v>VAR_fin</v>
          </cell>
          <cell r="D522" t="str">
            <v>BDS</v>
          </cell>
          <cell r="I522">
            <v>1.5489306996865242E-3</v>
          </cell>
          <cell r="J522">
            <v>1.0904729780255632E-3</v>
          </cell>
          <cell r="K522">
            <v>1.0604260232393916</v>
          </cell>
        </row>
        <row r="523">
          <cell r="B523" t="str">
            <v>G-INTC-EXP00-IT</v>
          </cell>
          <cell r="C523" t="str">
            <v>VAR_fout</v>
          </cell>
          <cell r="D523" t="str">
            <v>ELC_E-IT</v>
          </cell>
          <cell r="I523">
            <v>36.086940628207536</v>
          </cell>
          <cell r="J523">
            <v>27.407757195672538</v>
          </cell>
          <cell r="K523">
            <v>21.000654486057023</v>
          </cell>
        </row>
        <row r="524">
          <cell r="B524" t="str">
            <v>G-INTC-EXP00-IT</v>
          </cell>
          <cell r="C524" t="str">
            <v>VAR_fin</v>
          </cell>
          <cell r="D524" t="str">
            <v>ELC</v>
          </cell>
          <cell r="I524">
            <v>36.086940628207536</v>
          </cell>
          <cell r="J524">
            <v>27.407757195672538</v>
          </cell>
          <cell r="K524">
            <v>21.000654486057023</v>
          </cell>
        </row>
        <row r="525">
          <cell r="B525" t="str">
            <v>G-INTC-EXP00-IT</v>
          </cell>
          <cell r="C525" t="str">
            <v>VAR_ncap</v>
          </cell>
          <cell r="D525" t="str">
            <v>-</v>
          </cell>
          <cell r="I525">
            <v>3.8112311348286101E-6</v>
          </cell>
          <cell r="J525">
            <v>5.6184648664346599E-6</v>
          </cell>
          <cell r="K525">
            <v>8.5926812535277807E-6</v>
          </cell>
        </row>
        <row r="526">
          <cell r="B526" t="str">
            <v>G-INTC-EXP00-IT</v>
          </cell>
          <cell r="C526" t="str">
            <v>VAR_cap</v>
          </cell>
          <cell r="D526" t="str">
            <v>-</v>
          </cell>
          <cell r="I526">
            <v>3.7499814320242644</v>
          </cell>
          <cell r="J526">
            <v>2.4000000443417537</v>
          </cell>
          <cell r="K526">
            <v>2.4000001690695028</v>
          </cell>
        </row>
        <row r="527">
          <cell r="B527" t="str">
            <v>EWOD-CCS</v>
          </cell>
          <cell r="C527" t="str">
            <v>VAR_fout</v>
          </cell>
          <cell r="D527" t="str">
            <v>CO2_O</v>
          </cell>
          <cell r="J527">
            <v>0.85688756752572603</v>
          </cell>
          <cell r="K527">
            <v>451.13234351381993</v>
          </cell>
        </row>
        <row r="528">
          <cell r="B528" t="str">
            <v>EWOD-CCS</v>
          </cell>
          <cell r="C528" t="str">
            <v>VAR_fout</v>
          </cell>
          <cell r="D528" t="str">
            <v>CO2</v>
          </cell>
          <cell r="J528">
            <v>-0.85688756752572603</v>
          </cell>
          <cell r="K528">
            <v>-451.13234351381999</v>
          </cell>
        </row>
        <row r="529">
          <cell r="B529" t="str">
            <v>EWOD-CCS</v>
          </cell>
          <cell r="C529" t="str">
            <v>VAR_fout</v>
          </cell>
          <cell r="D529" t="str">
            <v>ELC13</v>
          </cell>
          <cell r="J529">
            <v>1.8991570426643055E-3</v>
          </cell>
          <cell r="K529">
            <v>0.99986415934573714</v>
          </cell>
        </row>
        <row r="530">
          <cell r="B530" t="str">
            <v>EWOD-CCS</v>
          </cell>
          <cell r="C530" t="str">
            <v>VAR_fin</v>
          </cell>
          <cell r="D530" t="str">
            <v>EWOD</v>
          </cell>
          <cell r="J530">
            <v>8.8828169177910428E-3</v>
          </cell>
          <cell r="K530">
            <v>3.8756501907343832</v>
          </cell>
        </row>
        <row r="531">
          <cell r="B531" t="str">
            <v>EWOD-CCS</v>
          </cell>
          <cell r="C531" t="str">
            <v>VAR_ncap</v>
          </cell>
          <cell r="D531" t="str">
            <v>-</v>
          </cell>
          <cell r="J531">
            <v>5.9931611611419304E-4</v>
          </cell>
          <cell r="K531">
            <v>0.14540065864021401</v>
          </cell>
        </row>
        <row r="532">
          <cell r="B532" t="str">
            <v>EWOD-CCS</v>
          </cell>
          <cell r="C532" t="str">
            <v>VAR_cap</v>
          </cell>
          <cell r="D532" t="str">
            <v>-</v>
          </cell>
          <cell r="J532">
            <v>2.8856411979626801E-4</v>
          </cell>
          <cell r="K532">
            <v>0.10819049035269986</v>
          </cell>
        </row>
        <row r="533">
          <cell r="B533" t="str">
            <v>EOIL-ENG</v>
          </cell>
          <cell r="C533" t="str">
            <v>VAR_fout</v>
          </cell>
          <cell r="D533" t="str">
            <v>ELC35</v>
          </cell>
          <cell r="I533">
            <v>6.303080726319207E-3</v>
          </cell>
          <cell r="J533">
            <v>5.2380766489081394E-3</v>
          </cell>
          <cell r="K533">
            <v>5.8612544673941597E-5</v>
          </cell>
        </row>
        <row r="534">
          <cell r="B534" t="str">
            <v>EOIL-ENG</v>
          </cell>
          <cell r="C534" t="str">
            <v>VAR_fout</v>
          </cell>
          <cell r="D534" t="str">
            <v>CO2_E</v>
          </cell>
          <cell r="I534">
            <v>1.53529988972399</v>
          </cell>
          <cell r="J534">
            <v>1.2272725727876901</v>
          </cell>
          <cell r="K534">
            <v>1.3885876106573899E-2</v>
          </cell>
        </row>
        <row r="535">
          <cell r="B535" t="str">
            <v>EOIL-ENG</v>
          </cell>
          <cell r="C535" t="str">
            <v>VAR_fin</v>
          </cell>
          <cell r="D535" t="str">
            <v>ELFO</v>
          </cell>
          <cell r="I535">
            <v>2.0831748842930615E-2</v>
          </cell>
          <cell r="J535">
            <v>1.6652273714893969E-2</v>
          </cell>
          <cell r="K535">
            <v>1.8841080198879121E-4</v>
          </cell>
        </row>
        <row r="536">
          <cell r="B536" t="str">
            <v>EOIL-ENG</v>
          </cell>
          <cell r="C536" t="str">
            <v>VAR_ncap</v>
          </cell>
          <cell r="D536" t="str">
            <v>-</v>
          </cell>
          <cell r="I536">
            <v>1.8760200602310201E-5</v>
          </cell>
          <cell r="J536">
            <v>3.4583859344325401E-6</v>
          </cell>
          <cell r="K536">
            <v>5.3702683197388804E-6</v>
          </cell>
        </row>
        <row r="537">
          <cell r="B537" t="str">
            <v>EOIL-ENG</v>
          </cell>
          <cell r="C537" t="str">
            <v>VAR_cap</v>
          </cell>
          <cell r="D537" t="str">
            <v>-</v>
          </cell>
          <cell r="I537">
            <v>4.0091211528345612E-2</v>
          </cell>
          <cell r="J537">
            <v>3.7152504518155244E-2</v>
          </cell>
          <cell r="K537">
            <v>1.2695568602278974E-3</v>
          </cell>
        </row>
        <row r="538">
          <cell r="B538" t="str">
            <v>D-SWOD</v>
          </cell>
          <cell r="C538" t="str">
            <v>VAR_fout</v>
          </cell>
          <cell r="D538" t="str">
            <v>SWOD</v>
          </cell>
          <cell r="I538">
            <v>8.4405220545679907</v>
          </cell>
          <cell r="J538">
            <v>7.080628477900671</v>
          </cell>
          <cell r="K538">
            <v>4.7538122909276259</v>
          </cell>
        </row>
        <row r="539">
          <cell r="B539" t="str">
            <v>D-SWOD</v>
          </cell>
          <cell r="C539" t="str">
            <v>VAR_fin</v>
          </cell>
          <cell r="D539" t="str">
            <v>WOD</v>
          </cell>
          <cell r="I539">
            <v>8.4405220545679907</v>
          </cell>
          <cell r="J539">
            <v>7.080628477900671</v>
          </cell>
          <cell r="K539">
            <v>4.7538122909276259</v>
          </cell>
        </row>
        <row r="540">
          <cell r="B540" t="str">
            <v>SCOM-CHPWOD</v>
          </cell>
          <cell r="C540" t="str">
            <v>VAR_fout</v>
          </cell>
          <cell r="D540" t="str">
            <v>SCOM_KEV_WOD_ELC_CHP</v>
          </cell>
          <cell r="I540">
            <v>3.9258722558165758E-3</v>
          </cell>
          <cell r="J540">
            <v>2.1118526464001842E-3</v>
          </cell>
          <cell r="K540">
            <v>8.2573278130341002E-4</v>
          </cell>
        </row>
        <row r="541">
          <cell r="B541" t="str">
            <v>SCOM-CHPWOD</v>
          </cell>
          <cell r="C541" t="str">
            <v>VAR_fout</v>
          </cell>
          <cell r="D541" t="str">
            <v>SCOM_LTH_CHPWOD</v>
          </cell>
          <cell r="I541">
            <v>6.1389851095382574E-3</v>
          </cell>
          <cell r="J541">
            <v>3.2296179150028571E-3</v>
          </cell>
          <cell r="K541">
            <v>1.2126916981345819E-3</v>
          </cell>
        </row>
        <row r="542">
          <cell r="B542" t="str">
            <v>SCOM-CHPWOD</v>
          </cell>
          <cell r="C542" t="str">
            <v>VAR_fin</v>
          </cell>
          <cell r="D542" t="str">
            <v>SWOD</v>
          </cell>
          <cell r="I542">
            <v>1.3745317221567559E-2</v>
          </cell>
          <cell r="J542">
            <v>7.1729990537729525E-3</v>
          </cell>
          <cell r="K542">
            <v>2.9848605837025583E-3</v>
          </cell>
        </row>
        <row r="543">
          <cell r="B543" t="str">
            <v>SCOM-CHPWOD</v>
          </cell>
          <cell r="C543" t="str">
            <v>VAR_ncap</v>
          </cell>
          <cell r="D543" t="str">
            <v>-</v>
          </cell>
          <cell r="I543">
            <v>1.3429869771695201E-4</v>
          </cell>
          <cell r="J543">
            <v>2.34127357481761E-6</v>
          </cell>
          <cell r="K543">
            <v>5.0048231790331401E-5</v>
          </cell>
        </row>
        <row r="544">
          <cell r="B544" t="str">
            <v>SCOM-CHPWOD</v>
          </cell>
          <cell r="C544" t="str">
            <v>VAR_cap</v>
          </cell>
          <cell r="D544" t="str">
            <v>-</v>
          </cell>
          <cell r="I544">
            <v>3.1983258502455005E-4</v>
          </cell>
          <cell r="J544">
            <v>2.6290633177241784E-4</v>
          </cell>
          <cell r="K544">
            <v>1.0830311719714477E-4</v>
          </cell>
        </row>
        <row r="545">
          <cell r="B545" t="str">
            <v>ENUC_BMGL</v>
          </cell>
          <cell r="C545" t="str">
            <v>VAR_fout</v>
          </cell>
          <cell r="D545" t="str">
            <v>ELC</v>
          </cell>
          <cell r="I545">
            <v>32.820797685613073</v>
          </cell>
          <cell r="J545">
            <v>32.820804889789272</v>
          </cell>
        </row>
        <row r="546">
          <cell r="B546" t="str">
            <v>ENUC_BMGL</v>
          </cell>
          <cell r="C546" t="str">
            <v>VAR_fin</v>
          </cell>
          <cell r="D546" t="str">
            <v>URN</v>
          </cell>
          <cell r="I546">
            <v>98.945492429436143</v>
          </cell>
          <cell r="J546">
            <v>98.945514148005145</v>
          </cell>
        </row>
        <row r="547">
          <cell r="B547" t="str">
            <v>ENUC_BMGL</v>
          </cell>
          <cell r="C547" t="str">
            <v>VAR_cap</v>
          </cell>
          <cell r="D547" t="str">
            <v>-</v>
          </cell>
          <cell r="I547">
            <v>1.2199999413501132</v>
          </cell>
          <cell r="J547">
            <v>1.2200001650725474</v>
          </cell>
        </row>
        <row r="548">
          <cell r="B548" t="str">
            <v>D-RSH2R</v>
          </cell>
          <cell r="C548" t="str">
            <v>VAR_fout</v>
          </cell>
          <cell r="D548" t="str">
            <v>RSH2</v>
          </cell>
          <cell r="I548">
            <v>6.8732974501096728E-4</v>
          </cell>
          <cell r="J548">
            <v>4.2441955845209841E-4</v>
          </cell>
          <cell r="K548">
            <v>3.6207440738318468E-4</v>
          </cell>
        </row>
        <row r="549">
          <cell r="B549" t="str">
            <v>D-RSH2R</v>
          </cell>
          <cell r="C549" t="str">
            <v>VAR_fin</v>
          </cell>
          <cell r="D549" t="str">
            <v>H2</v>
          </cell>
          <cell r="I549">
            <v>6.8732974501096728E-4</v>
          </cell>
          <cell r="J549">
            <v>4.2441955845209841E-4</v>
          </cell>
          <cell r="K549">
            <v>3.6207440738318468E-4</v>
          </cell>
        </row>
        <row r="550">
          <cell r="B550" t="str">
            <v>D-RSH2R</v>
          </cell>
          <cell r="C550" t="str">
            <v>VAR_ncap</v>
          </cell>
          <cell r="D550" t="str">
            <v>-</v>
          </cell>
          <cell r="I550">
            <v>1.12623902053691E-4</v>
          </cell>
          <cell r="J550">
            <v>1.3146739822205499E-4</v>
          </cell>
          <cell r="K550">
            <v>5.5846234359731302E-5</v>
          </cell>
        </row>
        <row r="551">
          <cell r="B551" t="str">
            <v>D-RSH2R</v>
          </cell>
          <cell r="C551" t="str">
            <v>VAR_cap</v>
          </cell>
          <cell r="D551" t="str">
            <v>-</v>
          </cell>
          <cell r="I551">
            <v>1.9583921931650799E-4</v>
          </cell>
          <cell r="J551">
            <v>1.5141556035897199E-4</v>
          </cell>
          <cell r="K551">
            <v>1.00876611504985E-4</v>
          </cell>
        </row>
        <row r="552">
          <cell r="B552" t="str">
            <v>ENGA-GTOC</v>
          </cell>
          <cell r="C552" t="str">
            <v>VAR_fout</v>
          </cell>
          <cell r="D552" t="str">
            <v>ELC13</v>
          </cell>
          <cell r="J552">
            <v>9.6613206384070246E-6</v>
          </cell>
          <cell r="K552">
            <v>4.5043486064927599E-2</v>
          </cell>
        </row>
        <row r="553">
          <cell r="B553" t="str">
            <v>ENGA-GTOC</v>
          </cell>
          <cell r="C553" t="str">
            <v>VAR_fout</v>
          </cell>
          <cell r="D553" t="str">
            <v>CO2_E</v>
          </cell>
          <cell r="J553">
            <v>1.5543404478068699E-3</v>
          </cell>
          <cell r="K553">
            <v>6.19139374053045</v>
          </cell>
        </row>
        <row r="554">
          <cell r="B554" t="str">
            <v>ENGA-GTOC</v>
          </cell>
          <cell r="C554" t="str">
            <v>VAR_fin</v>
          </cell>
          <cell r="D554" t="str">
            <v>ENGA</v>
          </cell>
          <cell r="J554">
            <v>2.7559227797994191E-5</v>
          </cell>
          <cell r="K554">
            <v>0.10977648476117809</v>
          </cell>
        </row>
        <row r="555">
          <cell r="B555" t="str">
            <v>ENGA-GTOC</v>
          </cell>
          <cell r="C555" t="str">
            <v>VAR_fin</v>
          </cell>
          <cell r="D555" t="str">
            <v>GTC</v>
          </cell>
          <cell r="I555">
            <v>3.6557338585217801E-4</v>
          </cell>
          <cell r="J555">
            <v>1.5235126057839099E-3</v>
          </cell>
          <cell r="K555">
            <v>3.7288518884872765E-2</v>
          </cell>
        </row>
        <row r="556">
          <cell r="B556" t="str">
            <v>ENGA-GTOC</v>
          </cell>
          <cell r="C556" t="str">
            <v>VAR_ncap</v>
          </cell>
          <cell r="D556" t="str">
            <v>-</v>
          </cell>
          <cell r="I556">
            <v>1.5180492082183801E-3</v>
          </cell>
          <cell r="J556">
            <v>1.49030840561484E-5</v>
          </cell>
          <cell r="K556">
            <v>4.8325236136849699E-2</v>
          </cell>
        </row>
        <row r="557">
          <cell r="B557" t="str">
            <v>ENGA-GTOC</v>
          </cell>
          <cell r="C557" t="str">
            <v>VAR_cap</v>
          </cell>
          <cell r="D557" t="str">
            <v>-</v>
          </cell>
          <cell r="I557">
            <v>3.6557338585217801E-4</v>
          </cell>
          <cell r="J557">
            <v>1.523512605783916E-3</v>
          </cell>
          <cell r="K557">
            <v>3.7288518884872744E-2</v>
          </cell>
        </row>
        <row r="558">
          <cell r="B558" t="str">
            <v>D-RSH2</v>
          </cell>
          <cell r="C558" t="str">
            <v>VAR_fout</v>
          </cell>
          <cell r="D558" t="str">
            <v>RSH2</v>
          </cell>
          <cell r="I558">
            <v>6.2981833704704748E-4</v>
          </cell>
          <cell r="J558">
            <v>4.2580943323715625E-4</v>
          </cell>
          <cell r="K558">
            <v>4.0980088807704857E-4</v>
          </cell>
        </row>
        <row r="559">
          <cell r="B559" t="str">
            <v>D-RSH2</v>
          </cell>
          <cell r="C559" t="str">
            <v>VAR_fin</v>
          </cell>
          <cell r="D559" t="str">
            <v>H2</v>
          </cell>
          <cell r="I559">
            <v>6.3461653751974612E-4</v>
          </cell>
          <cell r="J559">
            <v>4.290534147214321E-4</v>
          </cell>
          <cell r="K559">
            <v>4.1292291025268532E-4</v>
          </cell>
        </row>
        <row r="560">
          <cell r="B560" t="str">
            <v>D-RSH2</v>
          </cell>
          <cell r="C560" t="str">
            <v>VAR_ncap</v>
          </cell>
          <cell r="D560" t="str">
            <v>-</v>
          </cell>
          <cell r="I560">
            <v>5.4136275241034098E-5</v>
          </cell>
          <cell r="J560">
            <v>2.6372877073226202E-6</v>
          </cell>
          <cell r="K560">
            <v>1.63111650689229E-6</v>
          </cell>
        </row>
        <row r="561">
          <cell r="B561" t="str">
            <v>D-RSH2</v>
          </cell>
          <cell r="C561" t="str">
            <v>VAR_cap</v>
          </cell>
          <cell r="D561" t="str">
            <v>-</v>
          </cell>
          <cell r="I561">
            <v>1.9337006418514499E-4</v>
          </cell>
          <cell r="J561">
            <v>1.9600735189246799E-4</v>
          </cell>
          <cell r="K561">
            <v>1.9763846839936E-4</v>
          </cell>
        </row>
        <row r="562">
          <cell r="B562" t="str">
            <v>D-RWOD</v>
          </cell>
          <cell r="C562" t="str">
            <v>VAR_fout</v>
          </cell>
          <cell r="D562" t="str">
            <v>RWOD</v>
          </cell>
          <cell r="I562">
            <v>14.189524795034336</v>
          </cell>
          <cell r="J562">
            <v>13.562712736758924</v>
          </cell>
          <cell r="K562">
            <v>7.4614109456644977</v>
          </cell>
        </row>
        <row r="563">
          <cell r="B563" t="str">
            <v>D-RWOD</v>
          </cell>
          <cell r="C563" t="str">
            <v>VAR_fin</v>
          </cell>
          <cell r="D563" t="str">
            <v>WOD</v>
          </cell>
          <cell r="I563">
            <v>14.189524795034336</v>
          </cell>
          <cell r="J563">
            <v>13.562712736758924</v>
          </cell>
          <cell r="K563">
            <v>7.4614109456644977</v>
          </cell>
        </row>
        <row r="564">
          <cell r="B564" t="str">
            <v>CHPOIL</v>
          </cell>
          <cell r="C564" t="str">
            <v>VAR_fout</v>
          </cell>
          <cell r="D564" t="str">
            <v>ELC35</v>
          </cell>
          <cell r="I564">
            <v>1.3989427621364616E-3</v>
          </cell>
          <cell r="J564">
            <v>6.4831069535673967E-4</v>
          </cell>
          <cell r="K564">
            <v>1.147563704339486E-5</v>
          </cell>
        </row>
        <row r="565">
          <cell r="B565" t="str">
            <v>CHPOIL</v>
          </cell>
          <cell r="C565" t="str">
            <v>VAR_fout</v>
          </cell>
          <cell r="D565" t="str">
            <v>LTH</v>
          </cell>
          <cell r="I565">
            <v>7.1945627767017965E-3</v>
          </cell>
          <cell r="J565">
            <v>3.3341692904060869E-3</v>
          </cell>
          <cell r="K565">
            <v>5.9017561937459273E-5</v>
          </cell>
        </row>
        <row r="566">
          <cell r="B566" t="str">
            <v>CHPOIL</v>
          </cell>
          <cell r="C566" t="str">
            <v>VAR_fout</v>
          </cell>
          <cell r="D566" t="str">
            <v>CO2_E</v>
          </cell>
          <cell r="I566">
            <v>1.0780002225948</v>
          </cell>
          <cell r="J566">
            <v>0.45723360413042302</v>
          </cell>
          <cell r="K566">
            <v>8.5023902628370701E-3</v>
          </cell>
        </row>
        <row r="567">
          <cell r="B567" t="str">
            <v>CHPOIL</v>
          </cell>
          <cell r="C567" t="str">
            <v>VAR_fin</v>
          </cell>
          <cell r="D567" t="str">
            <v>ELFO</v>
          </cell>
          <cell r="I567">
            <v>1.4626868691923962E-2</v>
          </cell>
          <cell r="J567">
            <v>6.2039837738184942E-3</v>
          </cell>
          <cell r="K567">
            <v>1.1536486109683952E-4</v>
          </cell>
        </row>
        <row r="568">
          <cell r="B568" t="str">
            <v>CHPOIL</v>
          </cell>
          <cell r="C568" t="str">
            <v>VAR_ncap</v>
          </cell>
          <cell r="D568" t="str">
            <v>-</v>
          </cell>
          <cell r="I568">
            <v>2.4878975648600299E-5</v>
          </cell>
          <cell r="J568">
            <v>6.3618673677509095E-5</v>
          </cell>
          <cell r="K568">
            <v>8.2883039491096102E-5</v>
          </cell>
        </row>
        <row r="569">
          <cell r="B569" t="str">
            <v>CHPOIL</v>
          </cell>
          <cell r="C569" t="str">
            <v>VAR_cap</v>
          </cell>
          <cell r="D569" t="str">
            <v>-</v>
          </cell>
          <cell r="I569">
            <v>9.8548399658892911E-4</v>
          </cell>
          <cell r="J569">
            <v>3.3593036440236496E-4</v>
          </cell>
          <cell r="K569">
            <v>1.6452240963908381E-4</v>
          </cell>
        </row>
        <row r="570">
          <cell r="B570" t="str">
            <v>CHPHFC</v>
          </cell>
          <cell r="C570" t="str">
            <v>VAR_fout</v>
          </cell>
          <cell r="D570" t="str">
            <v>ELC35</v>
          </cell>
          <cell r="J570">
            <v>6.9712515706371932E-3</v>
          </cell>
          <cell r="K570">
            <v>0.35288777399785165</v>
          </cell>
        </row>
        <row r="571">
          <cell r="B571" t="str">
            <v>CHPHFC</v>
          </cell>
          <cell r="C571" t="str">
            <v>VAR_fout</v>
          </cell>
          <cell r="D571" t="str">
            <v>LTH</v>
          </cell>
          <cell r="J571">
            <v>8.4650911929165674E-3</v>
          </cell>
          <cell r="K571">
            <v>0.4453107624258601</v>
          </cell>
        </row>
        <row r="572">
          <cell r="B572" t="str">
            <v>CHPHFC</v>
          </cell>
          <cell r="C572" t="str">
            <v>VAR_fin</v>
          </cell>
          <cell r="D572" t="str">
            <v>EH2</v>
          </cell>
          <cell r="J572">
            <v>1.6598218025326652E-2</v>
          </cell>
          <cell r="K572">
            <v>0.84020898570917124</v>
          </cell>
        </row>
        <row r="573">
          <cell r="B573" t="str">
            <v>CHPHFC</v>
          </cell>
          <cell r="C573" t="str">
            <v>VAR_ncap</v>
          </cell>
          <cell r="D573" t="str">
            <v>-</v>
          </cell>
          <cell r="J573">
            <v>7.6410058741667398E-4</v>
          </cell>
          <cell r="K573">
            <v>3.6827512465647201E-2</v>
          </cell>
        </row>
        <row r="574">
          <cell r="B574" t="str">
            <v>CHPHFC</v>
          </cell>
          <cell r="C574" t="str">
            <v>VAR_cap</v>
          </cell>
          <cell r="D574" t="str">
            <v>-</v>
          </cell>
          <cell r="J574">
            <v>7.6410058741667398E-4</v>
          </cell>
          <cell r="K574">
            <v>3.7591440266390046E-2</v>
          </cell>
        </row>
        <row r="575">
          <cell r="B575" t="str">
            <v>ITOT-ESOLPV</v>
          </cell>
          <cell r="C575" t="str">
            <v>VAR_fout</v>
          </cell>
          <cell r="D575" t="str">
            <v>ITOT_SOL_ELC</v>
          </cell>
          <cell r="I575">
            <v>22.482467503971549</v>
          </cell>
          <cell r="J575">
            <v>40.847642199504989</v>
          </cell>
          <cell r="K575">
            <v>45.121216578743599</v>
          </cell>
        </row>
        <row r="576">
          <cell r="B576" t="str">
            <v>ITOT-ESOLPV</v>
          </cell>
          <cell r="C576" t="str">
            <v>VAR_fin</v>
          </cell>
          <cell r="D576" t="str">
            <v>SOL</v>
          </cell>
          <cell r="I576">
            <v>22.482467503971549</v>
          </cell>
          <cell r="J576">
            <v>40.847642199504989</v>
          </cell>
          <cell r="K576">
            <v>45.121216578743599</v>
          </cell>
        </row>
        <row r="577">
          <cell r="B577" t="str">
            <v>ITOT-ESOLPV</v>
          </cell>
          <cell r="C577" t="str">
            <v>VAR_fin</v>
          </cell>
          <cell r="D577" t="str">
            <v>SOLPVC</v>
          </cell>
          <cell r="I577">
            <v>22.482467503971499</v>
          </cell>
          <cell r="J577">
            <v>40.847642199505003</v>
          </cell>
          <cell r="K577">
            <v>45.121216578743599</v>
          </cell>
        </row>
        <row r="578">
          <cell r="B578" t="str">
            <v>ITOT-ESOLPV</v>
          </cell>
          <cell r="C578" t="str">
            <v>VAR_ncap</v>
          </cell>
          <cell r="D578" t="str">
            <v>-</v>
          </cell>
          <cell r="I578">
            <v>1.37873804760527</v>
          </cell>
          <cell r="J578">
            <v>6.0065758750959901</v>
          </cell>
          <cell r="K578">
            <v>5.3499915974015302</v>
          </cell>
        </row>
        <row r="579">
          <cell r="B579" t="str">
            <v>ITOT-ESOLPV</v>
          </cell>
          <cell r="C579" t="str">
            <v>VAR_cap</v>
          </cell>
          <cell r="D579" t="str">
            <v>-</v>
          </cell>
          <cell r="I579">
            <v>6.4810430244066097</v>
          </cell>
          <cell r="J579">
            <v>11.775188540160537</v>
          </cell>
          <cell r="K579">
            <v>13.007134835387699</v>
          </cell>
        </row>
        <row r="580">
          <cell r="B580" t="str">
            <v>RHNS-CHPNGA</v>
          </cell>
          <cell r="C580" t="str">
            <v>VAR_fout</v>
          </cell>
          <cell r="D580" t="str">
            <v>CO2_R</v>
          </cell>
          <cell r="I580">
            <v>0.64881528809871902</v>
          </cell>
          <cell r="J580">
            <v>0.23275470272673199</v>
          </cell>
        </row>
        <row r="581">
          <cell r="B581" t="str">
            <v>RHNS-CHPNGA</v>
          </cell>
          <cell r="C581" t="str">
            <v>VAR_fout</v>
          </cell>
          <cell r="D581" t="str">
            <v>RHNS_LTH_CHPNGA</v>
          </cell>
          <cell r="I581">
            <v>4.6890790515270973E-3</v>
          </cell>
          <cell r="J581">
            <v>2.4093922631859828E-3</v>
          </cell>
        </row>
        <row r="582">
          <cell r="B582" t="str">
            <v>RHNS-CHPNGA</v>
          </cell>
          <cell r="C582" t="str">
            <v>VAR_fout</v>
          </cell>
          <cell r="D582" t="str">
            <v>RHNS_NKEV_GAS_ELC_CHP</v>
          </cell>
          <cell r="I582">
            <v>2.0696267052647231E-3</v>
          </cell>
          <cell r="J582">
            <v>1.0729324922000068E-3</v>
          </cell>
        </row>
        <row r="583">
          <cell r="B583" t="str">
            <v>RHNS-CHPNGA</v>
          </cell>
          <cell r="C583" t="str">
            <v>VAR_fin</v>
          </cell>
          <cell r="D583" t="str">
            <v>RNGA</v>
          </cell>
          <cell r="I583">
            <v>1.1503817164870912E-2</v>
          </cell>
          <cell r="J583">
            <v>4.126856431325039E-3</v>
          </cell>
        </row>
        <row r="584">
          <cell r="B584" t="str">
            <v>RHNS-CHPNGA</v>
          </cell>
          <cell r="C584" t="str">
            <v>VAR_ncap</v>
          </cell>
          <cell r="D584" t="str">
            <v>-</v>
          </cell>
        </row>
        <row r="585">
          <cell r="B585" t="str">
            <v>RHNS-CHPNGA</v>
          </cell>
          <cell r="C585" t="str">
            <v>VAR_cap</v>
          </cell>
          <cell r="D585" t="str">
            <v>-</v>
          </cell>
          <cell r="I585">
            <v>1.8361918468807372E-4</v>
          </cell>
          <cell r="J585">
            <v>9.5184494366373646E-5</v>
          </cell>
        </row>
        <row r="586">
          <cell r="B586" t="str">
            <v>ENUC_BEZ</v>
          </cell>
          <cell r="C586" t="str">
            <v>VAR_fout</v>
          </cell>
          <cell r="D586" t="str">
            <v>ELC</v>
          </cell>
        </row>
        <row r="587">
          <cell r="B587" t="str">
            <v>ENUC_BEZ</v>
          </cell>
          <cell r="C587" t="str">
            <v>VAR_fin</v>
          </cell>
          <cell r="D587" t="str">
            <v>URN</v>
          </cell>
        </row>
        <row r="588">
          <cell r="B588" t="str">
            <v>ENUC_BEZ</v>
          </cell>
          <cell r="C588" t="str">
            <v>VAR_cap</v>
          </cell>
          <cell r="D588" t="str">
            <v>-</v>
          </cell>
        </row>
        <row r="589">
          <cell r="B589" t="str">
            <v>RHNM-CHPWOD</v>
          </cell>
          <cell r="C589" t="str">
            <v>VAR_fout</v>
          </cell>
          <cell r="D589" t="str">
            <v>RHNM_LTH_CHPWOD</v>
          </cell>
          <cell r="I589">
            <v>0.45985137205440196</v>
          </cell>
          <cell r="J589">
            <v>0.99093345299427504</v>
          </cell>
          <cell r="K589">
            <v>0.39562349025180665</v>
          </cell>
        </row>
        <row r="590">
          <cell r="B590" t="str">
            <v>RHNM-CHPWOD</v>
          </cell>
          <cell r="C590" t="str">
            <v>VAR_fout</v>
          </cell>
          <cell r="D590" t="str">
            <v>RHNM_KEV_WOD_ELC_CHP</v>
          </cell>
          <cell r="I590">
            <v>0.17287005282785825</v>
          </cell>
          <cell r="J590">
            <v>0.372517575847847</v>
          </cell>
          <cell r="K590">
            <v>0.14872512689095679</v>
          </cell>
        </row>
        <row r="591">
          <cell r="B591" t="str">
            <v>RHNM-CHPWOD</v>
          </cell>
          <cell r="C591" t="str">
            <v>VAR_fin</v>
          </cell>
          <cell r="D591" t="str">
            <v>RWOD</v>
          </cell>
          <cell r="I591">
            <v>0.64614103956936741</v>
          </cell>
          <cell r="J591">
            <v>1.3599651629526761</v>
          </cell>
          <cell r="K591">
            <v>0.5225010461728834</v>
          </cell>
        </row>
        <row r="592">
          <cell r="B592" t="str">
            <v>RHNM-CHPWOD</v>
          </cell>
          <cell r="C592" t="str">
            <v>VAR_ncap</v>
          </cell>
          <cell r="D592" t="str">
            <v>-</v>
          </cell>
          <cell r="I592">
            <v>1.2550015433159201E-2</v>
          </cell>
          <cell r="J592">
            <v>1.4902300721466401E-2</v>
          </cell>
          <cell r="K592">
            <v>9.7749843954176409E-7</v>
          </cell>
        </row>
        <row r="593">
          <cell r="B593" t="str">
            <v>RHNM-CHPWOD</v>
          </cell>
          <cell r="C593" t="str">
            <v>VAR_cap</v>
          </cell>
          <cell r="D593" t="str">
            <v>-</v>
          </cell>
          <cell r="I593">
            <v>1.2828481689527984E-2</v>
          </cell>
          <cell r="J593">
            <v>2.7642355136021771E-2</v>
          </cell>
          <cell r="K593">
            <v>1.1036295881602671E-2</v>
          </cell>
        </row>
        <row r="594">
          <cell r="B594" t="str">
            <v>RHNM-SHSTG-CHPNGA</v>
          </cell>
          <cell r="C594" t="str">
            <v>VAR_fout</v>
          </cell>
          <cell r="D594" t="str">
            <v>AUX_RNM-CHPNGA_OUT</v>
          </cell>
          <cell r="I594">
            <v>4.0246756764049964E-3</v>
          </cell>
          <cell r="J594">
            <v>1.5830356759719061E-3</v>
          </cell>
          <cell r="K594">
            <v>3.5876211231769154E-4</v>
          </cell>
        </row>
        <row r="595">
          <cell r="B595" t="str">
            <v>RHNM-SHSTG-CHPNGA</v>
          </cell>
          <cell r="C595" t="str">
            <v>VAR_fout</v>
          </cell>
          <cell r="D595" t="str">
            <v>RHNM_LTH_CHPNGA</v>
          </cell>
          <cell r="I595">
            <v>4.0283748268428619E-3</v>
          </cell>
          <cell r="J595">
            <v>1.5830356759719019E-3</v>
          </cell>
          <cell r="K595">
            <v>3.5876211231769122E-4</v>
          </cell>
        </row>
        <row r="596">
          <cell r="B596" t="str">
            <v>RHNM-SHSTG-CHPNGA</v>
          </cell>
          <cell r="C596" t="str">
            <v>VAR_fin</v>
          </cell>
          <cell r="D596" t="str">
            <v>AUX_RNM-CHPNGA_IN</v>
          </cell>
          <cell r="I596">
            <v>4.8894569833891899E-3</v>
          </cell>
          <cell r="J596">
            <v>1.8689613237471633E-3</v>
          </cell>
          <cell r="K596">
            <v>3.0391558885257112E-4</v>
          </cell>
        </row>
        <row r="597">
          <cell r="B597" t="str">
            <v>RHNM-SHSTG-CHPNGA</v>
          </cell>
          <cell r="C597" t="str">
            <v>VAR_fin</v>
          </cell>
          <cell r="D597" t="str">
            <v>RHNM_LTH_CHPNGA</v>
          </cell>
          <cell r="I597">
            <v>4.8894569833891899E-3</v>
          </cell>
          <cell r="J597">
            <v>1.8689613237471633E-3</v>
          </cell>
          <cell r="K597">
            <v>3.0391558885257112E-4</v>
          </cell>
        </row>
        <row r="598">
          <cell r="B598" t="str">
            <v>RHNM-SHSTG-CHPNGA</v>
          </cell>
          <cell r="C598" t="str">
            <v>VAR_ncap</v>
          </cell>
          <cell r="D598" t="str">
            <v>-</v>
          </cell>
          <cell r="I598">
            <v>6.0455288879331199E-3</v>
          </cell>
          <cell r="J598">
            <v>1.5344901377752001E-4</v>
          </cell>
          <cell r="K598">
            <v>3.5833171529813303E-5</v>
          </cell>
        </row>
        <row r="599">
          <cell r="B599" t="str">
            <v>RHNM-SHSTG-CHPNGA</v>
          </cell>
          <cell r="C599" t="str">
            <v>VAR_cap</v>
          </cell>
          <cell r="D599" t="str">
            <v>-</v>
          </cell>
          <cell r="I599">
            <v>8.02842302463091E-3</v>
          </cell>
          <cell r="J599">
            <v>6.2224864342415162E-3</v>
          </cell>
          <cell r="K599">
            <v>2.6492831099136555E-3</v>
          </cell>
        </row>
        <row r="600">
          <cell r="B600" t="str">
            <v>CT_CWODBDS</v>
          </cell>
          <cell r="C600" t="str">
            <v>VAR_fout</v>
          </cell>
          <cell r="D600" t="str">
            <v>BDS</v>
          </cell>
          <cell r="I600">
            <v>1.0336747124548799E-3</v>
          </cell>
          <cell r="J600">
            <v>6.3524459509513367E-2</v>
          </cell>
          <cell r="K600">
            <v>5.8809995225787164E-2</v>
          </cell>
        </row>
        <row r="601">
          <cell r="B601" t="str">
            <v>CT_CWODBDS</v>
          </cell>
          <cell r="C601" t="str">
            <v>VAR_fout</v>
          </cell>
          <cell r="D601" t="str">
            <v>LTH</v>
          </cell>
          <cell r="I601">
            <v>4.0313313785740265E-4</v>
          </cell>
          <cell r="J601">
            <v>2.4774539208710176E-2</v>
          </cell>
          <cell r="K601">
            <v>2.2935898138056961E-2</v>
          </cell>
        </row>
        <row r="602">
          <cell r="B602" t="str">
            <v>CT_CWODBDS</v>
          </cell>
          <cell r="C602" t="str">
            <v>VAR_fin</v>
          </cell>
          <cell r="D602" t="str">
            <v>CWOD</v>
          </cell>
          <cell r="I602">
            <v>2.94545609314018E-3</v>
          </cell>
          <cell r="J602">
            <v>0.18101294737235826</v>
          </cell>
          <cell r="K602">
            <v>0.16757908139588046</v>
          </cell>
        </row>
        <row r="603">
          <cell r="B603" t="str">
            <v>CT_CWODBDS</v>
          </cell>
          <cell r="C603" t="str">
            <v>VAR_fin</v>
          </cell>
          <cell r="D603" t="str">
            <v>CELC</v>
          </cell>
          <cell r="I603">
            <v>7.184039251561409E-5</v>
          </cell>
          <cell r="J603">
            <v>4.4149499359111772E-3</v>
          </cell>
          <cell r="K603">
            <v>4.0872946681922082E-3</v>
          </cell>
        </row>
        <row r="604">
          <cell r="B604" t="str">
            <v>CT_CWODBDS</v>
          </cell>
          <cell r="C604" t="str">
            <v>VAR_ncap</v>
          </cell>
          <cell r="D604" t="str">
            <v>-</v>
          </cell>
          <cell r="I604">
            <v>6.2316728312348098E-5</v>
          </cell>
          <cell r="J604">
            <v>3.2316950683860101E-3</v>
          </cell>
          <cell r="K604">
            <v>1.5417696484704499E-6</v>
          </cell>
        </row>
        <row r="605">
          <cell r="B605" t="str">
            <v>CT_CWODBDS</v>
          </cell>
          <cell r="C605" t="str">
            <v>VAR_cap</v>
          </cell>
          <cell r="D605" t="str">
            <v>-</v>
          </cell>
          <cell r="I605">
            <v>9.9578968631367296E-5</v>
          </cell>
          <cell r="J605">
            <v>3.2948271252929684E-3</v>
          </cell>
          <cell r="K605">
            <v>3.2820689981796014E-3</v>
          </cell>
        </row>
        <row r="606">
          <cell r="B606" t="str">
            <v>RHNS-EBAT</v>
          </cell>
          <cell r="C606" t="str">
            <v>VAR_fout</v>
          </cell>
          <cell r="D606" t="str">
            <v>RHNS_ELC</v>
          </cell>
          <cell r="I606">
            <v>0.34021820701351008</v>
          </cell>
          <cell r="J606">
            <v>0.25708689309237631</v>
          </cell>
          <cell r="K606">
            <v>0.35352756680567421</v>
          </cell>
        </row>
        <row r="607">
          <cell r="B607" t="str">
            <v>RHNS-EBAT</v>
          </cell>
          <cell r="C607" t="str">
            <v>VAR_fout</v>
          </cell>
          <cell r="D607" t="str">
            <v>AUX_RHNS-EBAT_OUT</v>
          </cell>
          <cell r="I607">
            <v>0.34021820701351035</v>
          </cell>
          <cell r="J607">
            <v>0.25708689309237648</v>
          </cell>
          <cell r="K607">
            <v>0.35352756680567449</v>
          </cell>
        </row>
        <row r="608">
          <cell r="B608" t="str">
            <v>RHNS-EBAT</v>
          </cell>
          <cell r="C608" t="str">
            <v>VAR_fin</v>
          </cell>
          <cell r="D608" t="str">
            <v>RHNS_ELC</v>
          </cell>
          <cell r="I608">
            <v>0.37623706539697793</v>
          </cell>
          <cell r="J608">
            <v>0.28430449552643533</v>
          </cell>
          <cell r="K608">
            <v>0.3909548415232908</v>
          </cell>
        </row>
        <row r="609">
          <cell r="B609" t="str">
            <v>RHNS-EBAT</v>
          </cell>
          <cell r="C609" t="str">
            <v>VAR_fin</v>
          </cell>
          <cell r="D609" t="str">
            <v>AUX_RHNS-EBAT_IN</v>
          </cell>
          <cell r="I609">
            <v>0.37623706539697793</v>
          </cell>
          <cell r="J609">
            <v>0.28430449552643533</v>
          </cell>
          <cell r="K609">
            <v>0.3909548415232908</v>
          </cell>
        </row>
        <row r="610">
          <cell r="B610" t="str">
            <v>RHNS-EBAT</v>
          </cell>
          <cell r="C610" t="str">
            <v>VAR_ncap</v>
          </cell>
          <cell r="D610" t="str">
            <v>-</v>
          </cell>
          <cell r="I610">
            <v>4.6166699872523899E-2</v>
          </cell>
          <cell r="J610">
            <v>0.136488933622643</v>
          </cell>
          <cell r="K610">
            <v>0.17026541195355899</v>
          </cell>
        </row>
        <row r="611">
          <cell r="B611" t="str">
            <v>RHNS-EBAT</v>
          </cell>
          <cell r="C611" t="str">
            <v>VAR_cap</v>
          </cell>
          <cell r="D611" t="str">
            <v>-</v>
          </cell>
          <cell r="I611">
            <v>0.18087130615564462</v>
          </cell>
          <cell r="J611">
            <v>0.20079085861834237</v>
          </cell>
          <cell r="K611">
            <v>0.24681644640213357</v>
          </cell>
        </row>
        <row r="612">
          <cell r="B612" t="str">
            <v>G-INTC-EXP00-AT</v>
          </cell>
          <cell r="C612" t="str">
            <v>VAR_fout</v>
          </cell>
          <cell r="D612" t="str">
            <v>ELC_E-AT</v>
          </cell>
          <cell r="I612">
            <v>4.7057548687569919E-4</v>
          </cell>
          <cell r="J612">
            <v>5.1036310283895622E-4</v>
          </cell>
          <cell r="K612">
            <v>3.2105811007765922E-4</v>
          </cell>
        </row>
        <row r="613">
          <cell r="B613" t="str">
            <v>G-INTC-EXP00-AT</v>
          </cell>
          <cell r="C613" t="str">
            <v>VAR_fin</v>
          </cell>
          <cell r="D613" t="str">
            <v>ELC</v>
          </cell>
          <cell r="I613">
            <v>4.7057548687569919E-4</v>
          </cell>
          <cell r="J613">
            <v>5.1036310283895622E-4</v>
          </cell>
          <cell r="K613">
            <v>3.2105811007765922E-4</v>
          </cell>
        </row>
        <row r="614">
          <cell r="B614" t="str">
            <v>G-INTC-EXP00-AT</v>
          </cell>
          <cell r="C614" t="str">
            <v>VAR_ncap</v>
          </cell>
          <cell r="D614" t="str">
            <v>-</v>
          </cell>
          <cell r="I614">
            <v>2.2560119407894599E-6</v>
          </cell>
          <cell r="J614">
            <v>3.0271117932088501E-6</v>
          </cell>
          <cell r="K614">
            <v>5.97485737169734E-6</v>
          </cell>
        </row>
        <row r="615">
          <cell r="B615" t="str">
            <v>G-INTC-EXP00-AT</v>
          </cell>
          <cell r="C615" t="str">
            <v>VAR_cap</v>
          </cell>
          <cell r="D615" t="str">
            <v>-</v>
          </cell>
          <cell r="I615">
            <v>1.0640448989633899E-3</v>
          </cell>
          <cell r="J615">
            <v>1.0616432833079337E-3</v>
          </cell>
          <cell r="K615">
            <v>1.0661850938447071E-3</v>
          </cell>
        </row>
        <row r="616">
          <cell r="B616" t="str">
            <v>G-INTC-IMP00-DE</v>
          </cell>
          <cell r="C616" t="str">
            <v>VAR_fout</v>
          </cell>
          <cell r="D616" t="str">
            <v>ELC</v>
          </cell>
          <cell r="I616">
            <v>37.35861680196858</v>
          </cell>
          <cell r="J616">
            <v>16.450288581272044</v>
          </cell>
          <cell r="K616">
            <v>5.3753265889311699</v>
          </cell>
        </row>
        <row r="617">
          <cell r="B617" t="str">
            <v>G-INTC-IMP00-DE</v>
          </cell>
          <cell r="C617" t="str">
            <v>VAR_fin</v>
          </cell>
          <cell r="D617" t="str">
            <v>ELC_I-DE</v>
          </cell>
          <cell r="I617">
            <v>37.35861680196858</v>
          </cell>
          <cell r="J617">
            <v>16.450288581272044</v>
          </cell>
          <cell r="K617">
            <v>5.3753265889311699</v>
          </cell>
        </row>
        <row r="618">
          <cell r="B618" t="str">
            <v>G-INTC-IMP00-DE</v>
          </cell>
          <cell r="C618" t="str">
            <v>VAR_ncap</v>
          </cell>
          <cell r="D618" t="str">
            <v>-</v>
          </cell>
          <cell r="I618">
            <v>3.1488449774379099E-6</v>
          </cell>
          <cell r="J618">
            <v>4.5535473936243903E-6</v>
          </cell>
          <cell r="K618">
            <v>6.8781107455539398E-6</v>
          </cell>
        </row>
        <row r="619">
          <cell r="B619" t="str">
            <v>G-INTC-IMP00-DE</v>
          </cell>
          <cell r="C619" t="str">
            <v>VAR_cap</v>
          </cell>
          <cell r="D619" t="str">
            <v>-</v>
          </cell>
          <cell r="I619">
            <v>2.272101254839348</v>
          </cell>
          <cell r="J619">
            <v>2.047842022212274</v>
          </cell>
          <cell r="K619">
            <v>1.0324380557694437</v>
          </cell>
        </row>
        <row r="620">
          <cell r="B620" t="str">
            <v>RHEM-SHSTG-CHPWOD</v>
          </cell>
          <cell r="C620" t="str">
            <v>VAR_fout</v>
          </cell>
          <cell r="D620" t="str">
            <v>AUX_REM-CHPWOD_OUT</v>
          </cell>
          <cell r="I620">
            <v>8.827511101157922E-3</v>
          </cell>
          <cell r="J620">
            <v>1.1808445368599105E-2</v>
          </cell>
          <cell r="K620">
            <v>2.549744920657597E-2</v>
          </cell>
        </row>
        <row r="621">
          <cell r="B621" t="str">
            <v>RHEM-SHSTG-CHPWOD</v>
          </cell>
          <cell r="C621" t="str">
            <v>VAR_fout</v>
          </cell>
          <cell r="D621" t="str">
            <v>RHEM_LTH_CHPWOD</v>
          </cell>
          <cell r="I621">
            <v>8.8356246223905838E-3</v>
          </cell>
          <cell r="J621">
            <v>1.180844536859906E-2</v>
          </cell>
          <cell r="K621">
            <v>2.5497449206575953E-2</v>
          </cell>
        </row>
        <row r="622">
          <cell r="B622" t="str">
            <v>RHEM-SHSTG-CHPWOD</v>
          </cell>
          <cell r="C622" t="str">
            <v>VAR_fin</v>
          </cell>
          <cell r="D622" t="str">
            <v>AUX_REM-CHPWOD_IN</v>
          </cell>
          <cell r="I622">
            <v>1.0716425981729321E-2</v>
          </cell>
          <cell r="J622">
            <v>1.3898855079802841E-2</v>
          </cell>
          <cell r="K622">
            <v>2.8337170783149495E-2</v>
          </cell>
        </row>
        <row r="623">
          <cell r="B623" t="str">
            <v>RHEM-SHSTG-CHPWOD</v>
          </cell>
          <cell r="C623" t="str">
            <v>VAR_fin</v>
          </cell>
          <cell r="D623" t="str">
            <v>RHEM_LTH_CHPWOD</v>
          </cell>
          <cell r="I623">
            <v>1.0716425981729321E-2</v>
          </cell>
          <cell r="J623">
            <v>1.3898855079802841E-2</v>
          </cell>
          <cell r="K623">
            <v>2.8337170783149495E-2</v>
          </cell>
        </row>
        <row r="624">
          <cell r="B624" t="str">
            <v>RHEM-SHSTG-CHPWOD</v>
          </cell>
          <cell r="C624" t="str">
            <v>VAR_ncap</v>
          </cell>
          <cell r="D624" t="str">
            <v>-</v>
          </cell>
          <cell r="I624">
            <v>6.9242306810402103E-3</v>
          </cell>
          <cell r="J624">
            <v>4.7304959356529001E-3</v>
          </cell>
          <cell r="K624">
            <v>3.2993024727373298E-3</v>
          </cell>
        </row>
        <row r="625">
          <cell r="B625" t="str">
            <v>RHEM-SHSTG-CHPWOD</v>
          </cell>
          <cell r="C625" t="str">
            <v>VAR_cap</v>
          </cell>
          <cell r="D625" t="str">
            <v>-</v>
          </cell>
          <cell r="I625">
            <v>8.4589365761223653E-3</v>
          </cell>
          <cell r="J625">
            <v>1.1710428879344812E-2</v>
          </cell>
          <cell r="K625">
            <v>9.622056715802664E-3</v>
          </cell>
        </row>
        <row r="626">
          <cell r="B626" t="str">
            <v>G-INTC-EXP00-FR</v>
          </cell>
          <cell r="C626" t="str">
            <v>VAR_fout</v>
          </cell>
          <cell r="D626" t="str">
            <v>ELC_E-FR</v>
          </cell>
          <cell r="I626">
            <v>1.4555511641189635E-3</v>
          </cell>
          <cell r="J626">
            <v>7.3393389985562081E-3</v>
          </cell>
          <cell r="K626">
            <v>5.6451789423198721E-3</v>
          </cell>
        </row>
        <row r="627">
          <cell r="B627" t="str">
            <v>G-INTC-EXP00-FR</v>
          </cell>
          <cell r="C627" t="str">
            <v>VAR_fin</v>
          </cell>
          <cell r="D627" t="str">
            <v>ELC</v>
          </cell>
          <cell r="I627">
            <v>1.4555511641189635E-3</v>
          </cell>
          <cell r="J627">
            <v>7.3393389985562081E-3</v>
          </cell>
          <cell r="K627">
            <v>5.6451789423198721E-3</v>
          </cell>
        </row>
        <row r="628">
          <cell r="B628" t="str">
            <v>G-INTC-EXP00-FR</v>
          </cell>
          <cell r="C628" t="str">
            <v>VAR_ncap</v>
          </cell>
          <cell r="D628" t="str">
            <v>-</v>
          </cell>
          <cell r="I628">
            <v>8.4152366868375604E-6</v>
          </cell>
          <cell r="J628">
            <v>1.25756715837215E-5</v>
          </cell>
          <cell r="K628">
            <v>2.0191358351294998E-5</v>
          </cell>
        </row>
        <row r="629">
          <cell r="B629" t="str">
            <v>G-INTC-EXP00-FR</v>
          </cell>
          <cell r="C629" t="str">
            <v>VAR_cap</v>
          </cell>
          <cell r="D629" t="str">
            <v>-</v>
          </cell>
          <cell r="I629">
            <v>2.9308731303971935E-3</v>
          </cell>
          <cell r="J629">
            <v>3.3515071111034356E-3</v>
          </cell>
          <cell r="K629">
            <v>3.3680783551235383E-3</v>
          </cell>
        </row>
        <row r="630">
          <cell r="B630" t="str">
            <v>RHNM-EBAT</v>
          </cell>
          <cell r="C630" t="str">
            <v>VAR_fout</v>
          </cell>
          <cell r="D630" t="str">
            <v>RHNM_ELC</v>
          </cell>
          <cell r="I630">
            <v>5.0461403697104022E-2</v>
          </cell>
          <cell r="J630">
            <v>0.12650133461451291</v>
          </cell>
          <cell r="K630">
            <v>0.18024642325746065</v>
          </cell>
        </row>
        <row r="631">
          <cell r="B631" t="str">
            <v>RHNM-EBAT</v>
          </cell>
          <cell r="C631" t="str">
            <v>VAR_fout</v>
          </cell>
          <cell r="D631" t="str">
            <v>AUX_RHNM-EBAT_OUT</v>
          </cell>
          <cell r="I631">
            <v>5.0461403697104071E-2</v>
          </cell>
          <cell r="J631">
            <v>0.12650133461451302</v>
          </cell>
          <cell r="K631">
            <v>0.1802464232574609</v>
          </cell>
        </row>
        <row r="632">
          <cell r="B632" t="str">
            <v>RHNM-EBAT</v>
          </cell>
          <cell r="C632" t="str">
            <v>VAR_fin</v>
          </cell>
          <cell r="D632" t="str">
            <v>RHNM_ELC</v>
          </cell>
          <cell r="I632">
            <v>5.5805217103034647E-2</v>
          </cell>
          <cell r="J632">
            <v>0.13989452349247364</v>
          </cell>
          <cell r="K632">
            <v>0.19932932500005335</v>
          </cell>
        </row>
        <row r="633">
          <cell r="B633" t="str">
            <v>RHNM-EBAT</v>
          </cell>
          <cell r="C633" t="str">
            <v>VAR_fin</v>
          </cell>
          <cell r="D633" t="str">
            <v>AUX_RHNM-EBAT_IN</v>
          </cell>
          <cell r="I633">
            <v>5.5805217103034647E-2</v>
          </cell>
          <cell r="J633">
            <v>0.13989452349247364</v>
          </cell>
          <cell r="K633">
            <v>0.19932932500005335</v>
          </cell>
        </row>
        <row r="634">
          <cell r="B634" t="str">
            <v>RHNM-EBAT</v>
          </cell>
          <cell r="C634" t="str">
            <v>VAR_ncap</v>
          </cell>
          <cell r="D634" t="str">
            <v>-</v>
          </cell>
          <cell r="I634">
            <v>1.1180105297821499E-2</v>
          </cell>
          <cell r="J634">
            <v>8.2765360723581496E-2</v>
          </cell>
          <cell r="K634">
            <v>7.2874922502516801E-2</v>
          </cell>
        </row>
        <row r="635">
          <cell r="B635" t="str">
            <v>RHNM-EBAT</v>
          </cell>
          <cell r="C635" t="str">
            <v>VAR_cap</v>
          </cell>
          <cell r="D635" t="str">
            <v>-</v>
          </cell>
          <cell r="I635">
            <v>2.1111162533525293E-2</v>
          </cell>
          <cell r="J635">
            <v>9.408151919947029E-2</v>
          </cell>
          <cell r="K635">
            <v>0.11634355121896964</v>
          </cell>
        </row>
        <row r="636">
          <cell r="B636" t="str">
            <v>ITOT-CHPWST</v>
          </cell>
          <cell r="C636" t="str">
            <v>VAR_fout</v>
          </cell>
          <cell r="D636" t="str">
            <v>ITOT_LTH_CHP</v>
          </cell>
          <cell r="I636">
            <v>1.5995176633888886E-2</v>
          </cell>
          <cell r="J636">
            <v>7.1235888172253448E-3</v>
          </cell>
          <cell r="K636">
            <v>9.2749139744694202E-4</v>
          </cell>
        </row>
        <row r="637">
          <cell r="B637" t="str">
            <v>ITOT-CHPWST</v>
          </cell>
          <cell r="C637" t="str">
            <v>VAR_fout</v>
          </cell>
          <cell r="D637" t="str">
            <v>ITOT_KEV_WST_ELC_CHP</v>
          </cell>
          <cell r="I637">
            <v>2.7103877795210717E-3</v>
          </cell>
          <cell r="J637">
            <v>1.4064233092216918E-3</v>
          </cell>
          <cell r="K637">
            <v>2.7341503051753966E-4</v>
          </cell>
        </row>
        <row r="638">
          <cell r="B638" t="str">
            <v>ITOT-CHPWST</v>
          </cell>
          <cell r="C638" t="str">
            <v>VAR_fout</v>
          </cell>
          <cell r="D638" t="str">
            <v>CO2_I</v>
          </cell>
          <cell r="I638">
            <v>4.0586288247617501</v>
          </cell>
          <cell r="J638">
            <v>2.1060271248834299</v>
          </cell>
          <cell r="K638">
            <v>0.40942116562290598</v>
          </cell>
        </row>
        <row r="639">
          <cell r="B639" t="str">
            <v>ITOT-CHPWST</v>
          </cell>
          <cell r="C639" t="str">
            <v>VAR_fin</v>
          </cell>
          <cell r="D639" t="str">
            <v>IWST</v>
          </cell>
          <cell r="I639">
            <v>4.3735224404760221E-2</v>
          </cell>
          <cell r="J639">
            <v>2.2694257811243904E-2</v>
          </cell>
          <cell r="K639">
            <v>4.4118660088675312E-3</v>
          </cell>
        </row>
        <row r="640">
          <cell r="B640" t="str">
            <v>ITOT-CHPWST</v>
          </cell>
          <cell r="C640" t="str">
            <v>VAR_ncap</v>
          </cell>
          <cell r="D640" t="str">
            <v>-</v>
          </cell>
          <cell r="I640">
            <v>1.4303870982300699E-6</v>
          </cell>
          <cell r="J640">
            <v>2.0655875099511901E-7</v>
          </cell>
          <cell r="K640">
            <v>7.7222441648848096E-8</v>
          </cell>
        </row>
        <row r="641">
          <cell r="B641" t="str">
            <v>ITOT-CHPWST</v>
          </cell>
          <cell r="C641" t="str">
            <v>VAR_cap</v>
          </cell>
          <cell r="D641" t="str">
            <v>-</v>
          </cell>
          <cell r="I641">
            <v>6.4375314728388772E-4</v>
          </cell>
          <cell r="J641">
            <v>5.2701983606878288E-4</v>
          </cell>
          <cell r="K641">
            <v>1.4782698362695744E-4</v>
          </cell>
        </row>
        <row r="642">
          <cell r="B642" t="str">
            <v>CAES-EBAT</v>
          </cell>
          <cell r="C642" t="str">
            <v>VAR_fout</v>
          </cell>
          <cell r="D642" t="str">
            <v>ELC13</v>
          </cell>
          <cell r="I642">
            <v>3.5669839720248217E-2</v>
          </cell>
          <cell r="J642">
            <v>2.0355486723201314E-2</v>
          </cell>
          <cell r="K642">
            <v>9.4414769627117617E-2</v>
          </cell>
        </row>
        <row r="643">
          <cell r="B643" t="str">
            <v>CAES-EBAT</v>
          </cell>
          <cell r="C643" t="str">
            <v>VAR_fout</v>
          </cell>
          <cell r="D643" t="str">
            <v>AUX_CAES_OUT</v>
          </cell>
          <cell r="I643">
            <v>3.5669839720248182E-2</v>
          </cell>
          <cell r="J643">
            <v>2.0355486723201279E-2</v>
          </cell>
          <cell r="K643">
            <v>9.4414769627117562E-2</v>
          </cell>
        </row>
        <row r="644">
          <cell r="B644" t="str">
            <v>CAES-EBAT</v>
          </cell>
          <cell r="C644" t="str">
            <v>VAR_fin</v>
          </cell>
          <cell r="D644" t="str">
            <v>ELC13</v>
          </cell>
          <cell r="I644">
            <v>5.0962365732408622E-2</v>
          </cell>
          <cell r="J644">
            <v>2.9085268794121846E-2</v>
          </cell>
          <cell r="K644">
            <v>0.13488217572472258</v>
          </cell>
        </row>
        <row r="645">
          <cell r="B645" t="str">
            <v>CAES-EBAT</v>
          </cell>
          <cell r="C645" t="str">
            <v>VAR_fin</v>
          </cell>
          <cell r="D645" t="str">
            <v>AUX_CAES_IN</v>
          </cell>
          <cell r="I645">
            <v>5.0962365732408622E-2</v>
          </cell>
          <cell r="J645">
            <v>2.9085268794121846E-2</v>
          </cell>
          <cell r="K645">
            <v>0.13488217572472258</v>
          </cell>
        </row>
        <row r="646">
          <cell r="B646" t="str">
            <v>CAES-EBAT</v>
          </cell>
          <cell r="C646" t="str">
            <v>VAR_ncap</v>
          </cell>
          <cell r="D646" t="str">
            <v>-</v>
          </cell>
          <cell r="I646">
            <v>1.3683099323895099E-6</v>
          </cell>
          <cell r="J646">
            <v>1.7482820976886399E-6</v>
          </cell>
          <cell r="K646">
            <v>1.1017229183443101E-6</v>
          </cell>
        </row>
        <row r="647">
          <cell r="B647" t="str">
            <v>CAES-EBAT</v>
          </cell>
          <cell r="C647" t="str">
            <v>VAR_cap</v>
          </cell>
          <cell r="D647" t="str">
            <v>-</v>
          </cell>
          <cell r="I647">
            <v>9.9996830471237447E-2</v>
          </cell>
          <cell r="J647">
            <v>9.9997581557615414E-2</v>
          </cell>
          <cell r="K647">
            <v>9.999772837918687E-2</v>
          </cell>
        </row>
        <row r="648">
          <cell r="B648" t="str">
            <v>HPLSOL</v>
          </cell>
          <cell r="C648" t="str">
            <v>VAR_fout</v>
          </cell>
          <cell r="D648" t="str">
            <v>LTH</v>
          </cell>
          <cell r="I648">
            <v>1.3103988228516946E-4</v>
          </cell>
          <cell r="J648">
            <v>1.312065979412731E-4</v>
          </cell>
          <cell r="K648">
            <v>1.3282720853655062E-4</v>
          </cell>
        </row>
        <row r="649">
          <cell r="B649" t="str">
            <v>HPLSOL</v>
          </cell>
          <cell r="C649" t="str">
            <v>VAR_fin</v>
          </cell>
          <cell r="D649" t="str">
            <v>SOL</v>
          </cell>
          <cell r="I649">
            <v>1.3103988228516946E-4</v>
          </cell>
          <cell r="J649">
            <v>1.312065979412731E-4</v>
          </cell>
          <cell r="K649">
            <v>1.3282720853655062E-4</v>
          </cell>
        </row>
        <row r="650">
          <cell r="B650" t="str">
            <v>HPLSOL</v>
          </cell>
          <cell r="C650" t="str">
            <v>VAR_fin</v>
          </cell>
          <cell r="D650" t="str">
            <v>SOLPVC</v>
          </cell>
          <cell r="I650">
            <v>1.31039882285169E-4</v>
          </cell>
          <cell r="J650">
            <v>1.31206597941273E-4</v>
          </cell>
          <cell r="K650">
            <v>1.32827208536551E-4</v>
          </cell>
        </row>
        <row r="651">
          <cell r="B651" t="str">
            <v>HPLSOL</v>
          </cell>
          <cell r="C651" t="str">
            <v>VAR_ncap</v>
          </cell>
          <cell r="D651" t="str">
            <v>-</v>
          </cell>
          <cell r="I651">
            <v>5.2171317744153103E-6</v>
          </cell>
          <cell r="J651">
            <v>9.35890970244618E-7</v>
          </cell>
          <cell r="K651">
            <v>1.3282327220998499E-5</v>
          </cell>
        </row>
        <row r="652">
          <cell r="B652" t="str">
            <v>HPLSOL</v>
          </cell>
          <cell r="C652" t="str">
            <v>VAR_cap</v>
          </cell>
          <cell r="D652" t="str">
            <v>-</v>
          </cell>
          <cell r="I652">
            <v>3.1157465081954001E-5</v>
          </cell>
          <cell r="J652">
            <v>3.2093356052198602E-5</v>
          </cell>
          <cell r="K652">
            <v>2.5120964011617799E-5</v>
          </cell>
        </row>
        <row r="653">
          <cell r="B653" t="str">
            <v>RHEM-CHPNGA</v>
          </cell>
          <cell r="C653" t="str">
            <v>VAR_fout</v>
          </cell>
          <cell r="D653" t="str">
            <v>CO2_R</v>
          </cell>
          <cell r="I653">
            <v>3.82726858256127</v>
          </cell>
          <cell r="J653">
            <v>0.59649955533855703</v>
          </cell>
        </row>
        <row r="654">
          <cell r="B654" t="str">
            <v>RHEM-CHPNGA</v>
          </cell>
          <cell r="C654" t="str">
            <v>VAR_fout</v>
          </cell>
          <cell r="D654" t="str">
            <v>RHEM_LTH_CHPNGA</v>
          </cell>
          <cell r="I654">
            <v>3.9316457343712065E-2</v>
          </cell>
          <cell r="J654">
            <v>6.2472138721293312E-3</v>
          </cell>
        </row>
        <row r="655">
          <cell r="B655" t="str">
            <v>RHEM-CHPNGA</v>
          </cell>
          <cell r="C655" t="str">
            <v>VAR_fout</v>
          </cell>
          <cell r="D655" t="str">
            <v>RHEM_NKEV_GAS_ELC_CHP</v>
          </cell>
          <cell r="I655">
            <v>1.9258328945126593E-2</v>
          </cell>
          <cell r="J655">
            <v>3.0982117577226767E-3</v>
          </cell>
        </row>
        <row r="656">
          <cell r="B656" t="str">
            <v>RHEM-CHPNGA</v>
          </cell>
          <cell r="C656" t="str">
            <v>VAR_fin</v>
          </cell>
          <cell r="D656" t="str">
            <v>RNGA</v>
          </cell>
          <cell r="I656">
            <v>6.7859372031228216E-2</v>
          </cell>
          <cell r="J656">
            <v>1.0576233250683627E-2</v>
          </cell>
        </row>
        <row r="657">
          <cell r="B657" t="str">
            <v>RHEM-CHPNGA</v>
          </cell>
          <cell r="C657" t="str">
            <v>VAR_ncap</v>
          </cell>
          <cell r="D657" t="str">
            <v>-</v>
          </cell>
        </row>
        <row r="658">
          <cell r="B658" t="str">
            <v>RHEM-CHPNGA</v>
          </cell>
          <cell r="C658" t="str">
            <v>VAR_cap</v>
          </cell>
          <cell r="D658" t="str">
            <v>-</v>
          </cell>
          <cell r="I658">
            <v>1.4286742274957111E-3</v>
          </cell>
          <cell r="J658">
            <v>4.9722850928824369E-4</v>
          </cell>
        </row>
        <row r="659">
          <cell r="B659" t="str">
            <v>D-DH2</v>
          </cell>
          <cell r="C659" t="str">
            <v>VAR_fout</v>
          </cell>
          <cell r="D659" t="str">
            <v>H2</v>
          </cell>
          <cell r="I659">
            <v>1.7776955381141007E-4</v>
          </cell>
          <cell r="J659">
            <v>12.112153267926354</v>
          </cell>
          <cell r="K659">
            <v>12.815438723178064</v>
          </cell>
        </row>
        <row r="660">
          <cell r="B660" t="str">
            <v>D-DH2</v>
          </cell>
          <cell r="C660" t="str">
            <v>VAR_fin</v>
          </cell>
          <cell r="D660" t="str">
            <v>H2_E</v>
          </cell>
          <cell r="I660">
            <v>1.7956520587011132E-4</v>
          </cell>
          <cell r="J660">
            <v>12.234498250430669</v>
          </cell>
          <cell r="K660">
            <v>12.944887599169746</v>
          </cell>
        </row>
        <row r="661">
          <cell r="B661" t="str">
            <v>D-DH2</v>
          </cell>
          <cell r="C661" t="str">
            <v>VAR_ncap</v>
          </cell>
          <cell r="D661" t="str">
            <v>-</v>
          </cell>
          <cell r="I661">
            <v>9.6789663806413602E-5</v>
          </cell>
          <cell r="J661">
            <v>1.6264154158550399</v>
          </cell>
          <cell r="K661">
            <v>9.4437437242418196E-2</v>
          </cell>
        </row>
        <row r="662">
          <cell r="B662" t="str">
            <v>D-DH2</v>
          </cell>
          <cell r="C662" t="str">
            <v>VAR_cap</v>
          </cell>
          <cell r="D662" t="str">
            <v>-</v>
          </cell>
          <cell r="I662">
            <v>1.8468340209576301E-4</v>
          </cell>
          <cell r="J662">
            <v>1.6266000992571299</v>
          </cell>
          <cell r="K662">
            <v>1.72103753649955</v>
          </cell>
        </row>
        <row r="663">
          <cell r="B663" t="str">
            <v>D-SBIO</v>
          </cell>
          <cell r="C663" t="str">
            <v>VAR_fout</v>
          </cell>
          <cell r="D663" t="str">
            <v>SBIO</v>
          </cell>
          <cell r="I663">
            <v>4.4092001706271731</v>
          </cell>
          <cell r="J663">
            <v>2.9499119296165515</v>
          </cell>
          <cell r="K663">
            <v>2.8720817471328273</v>
          </cell>
        </row>
        <row r="664">
          <cell r="B664" t="str">
            <v>D-SBIO</v>
          </cell>
          <cell r="C664" t="str">
            <v>VAR_fin</v>
          </cell>
          <cell r="D664" t="str">
            <v>BIO</v>
          </cell>
          <cell r="I664">
            <v>4.4092001706271731</v>
          </cell>
          <cell r="J664">
            <v>2.9499119296165515</v>
          </cell>
          <cell r="K664">
            <v>2.8720817471328273</v>
          </cell>
        </row>
        <row r="665">
          <cell r="B665" t="str">
            <v>SCOM-CHPBIO</v>
          </cell>
          <cell r="C665" t="str">
            <v>VAR_fout</v>
          </cell>
          <cell r="D665" t="str">
            <v>SCOM_LTH_CHPBIO</v>
          </cell>
          <cell r="I665">
            <v>1.1649732364436489</v>
          </cell>
          <cell r="J665">
            <v>1.0059594343036926</v>
          </cell>
          <cell r="K665">
            <v>1.0059601783598462</v>
          </cell>
        </row>
        <row r="666">
          <cell r="B666" t="str">
            <v>SCOM-CHPBIO</v>
          </cell>
          <cell r="C666" t="str">
            <v>VAR_fout</v>
          </cell>
          <cell r="D666" t="str">
            <v>SCOM_KEV_BIO_ELC_CHP</v>
          </cell>
          <cell r="I666">
            <v>1.1059987383196199</v>
          </cell>
          <cell r="J666">
            <v>1.105995881450222</v>
          </cell>
          <cell r="K666">
            <v>1.10599669949816</v>
          </cell>
        </row>
        <row r="667">
          <cell r="B667" t="str">
            <v>SCOM-CHPBIO</v>
          </cell>
          <cell r="C667" t="str">
            <v>VAR_fin</v>
          </cell>
          <cell r="D667" t="str">
            <v>SBIO</v>
          </cell>
          <cell r="I667">
            <v>4.4092001706271731</v>
          </cell>
          <cell r="J667">
            <v>2.9499119296165515</v>
          </cell>
          <cell r="K667">
            <v>2.8720817471328273</v>
          </cell>
        </row>
        <row r="668">
          <cell r="B668" t="str">
            <v>SCOM-CHPBIO</v>
          </cell>
          <cell r="C668" t="str">
            <v>VAR_ncap</v>
          </cell>
          <cell r="D668" t="str">
            <v>-</v>
          </cell>
          <cell r="I668">
            <v>4.4080299802436898E-2</v>
          </cell>
          <cell r="J668">
            <v>3.1156687737714399E-2</v>
          </cell>
          <cell r="K668">
            <v>4.34919517547823E-2</v>
          </cell>
        </row>
        <row r="669">
          <cell r="B669" t="str">
            <v>SCOM-CHPBIO</v>
          </cell>
          <cell r="C669" t="str">
            <v>VAR_cap</v>
          </cell>
          <cell r="D669" t="str">
            <v>-</v>
          </cell>
          <cell r="I669">
            <v>8.4751665695271566E-2</v>
          </cell>
          <cell r="J669">
            <v>8.4749599533923178E-2</v>
          </cell>
          <cell r="K669">
            <v>8.474880271931548E-2</v>
          </cell>
        </row>
        <row r="670">
          <cell r="B670" t="str">
            <v>SCOM-CHPHFC</v>
          </cell>
          <cell r="C670" t="str">
            <v>VAR_fout</v>
          </cell>
          <cell r="D670" t="str">
            <v>SCOM_KEV_HFC_ELC_CHP</v>
          </cell>
          <cell r="I670">
            <v>7.4029796149395763E-3</v>
          </cell>
          <cell r="J670">
            <v>1.0646981541510085E-2</v>
          </cell>
          <cell r="K670">
            <v>1.4029965412039075E-2</v>
          </cell>
        </row>
        <row r="671">
          <cell r="B671" t="str">
            <v>SCOM-CHPHFC</v>
          </cell>
          <cell r="C671" t="str">
            <v>VAR_fout</v>
          </cell>
          <cell r="D671" t="str">
            <v>SCOM_LTH_CHPHFC</v>
          </cell>
          <cell r="I671">
            <v>5.1164257748086339E-3</v>
          </cell>
          <cell r="J671">
            <v>6.7036550446544965E-3</v>
          </cell>
          <cell r="K671">
            <v>7.9299804502829668E-3</v>
          </cell>
        </row>
        <row r="672">
          <cell r="B672" t="str">
            <v>SCOM-CHPHFC</v>
          </cell>
          <cell r="C672" t="str">
            <v>VAR_fin</v>
          </cell>
          <cell r="D672" t="str">
            <v>RSH2</v>
          </cell>
          <cell r="I672">
            <v>1.4587151950619869E-2</v>
          </cell>
          <cell r="J672">
            <v>1.9716632484277928E-2</v>
          </cell>
          <cell r="K672">
            <v>2.4399939847024474E-2</v>
          </cell>
        </row>
        <row r="673">
          <cell r="B673" t="str">
            <v>SCOM-CHPHFC</v>
          </cell>
          <cell r="C673" t="str">
            <v>VAR_ncap</v>
          </cell>
          <cell r="D673" t="str">
            <v>-</v>
          </cell>
          <cell r="I673">
            <v>9.25399287395984E-5</v>
          </cell>
          <cell r="J673">
            <v>2.9719402181534101E-4</v>
          </cell>
          <cell r="K673">
            <v>5.7139188450537398E-4</v>
          </cell>
        </row>
        <row r="674">
          <cell r="B674" t="str">
            <v>SCOM-CHPHFC</v>
          </cell>
          <cell r="C674" t="str">
            <v>VAR_cap</v>
          </cell>
          <cell r="D674" t="str">
            <v>-</v>
          </cell>
          <cell r="I674">
            <v>4.3753189081328925E-4</v>
          </cell>
          <cell r="J674">
            <v>6.2522730557778379E-4</v>
          </cell>
          <cell r="K674">
            <v>8.260350022361437E-4</v>
          </cell>
        </row>
        <row r="675">
          <cell r="B675" t="str">
            <v>RHES-EBAT</v>
          </cell>
          <cell r="C675" t="str">
            <v>VAR_fout</v>
          </cell>
          <cell r="D675" t="str">
            <v>RHES_ELC</v>
          </cell>
          <cell r="I675">
            <v>0.33792577847280658</v>
          </cell>
          <cell r="J675">
            <v>0.25509504075031697</v>
          </cell>
          <cell r="K675">
            <v>0.35017657192299728</v>
          </cell>
        </row>
        <row r="676">
          <cell r="B676" t="str">
            <v>RHES-EBAT</v>
          </cell>
          <cell r="C676" t="str">
            <v>VAR_fout</v>
          </cell>
          <cell r="D676" t="str">
            <v>AUX_RHES-EBAT_OUT</v>
          </cell>
          <cell r="I676">
            <v>0.33792577847280686</v>
          </cell>
          <cell r="J676">
            <v>0.25509504075031719</v>
          </cell>
          <cell r="K676">
            <v>0.35017657192299778</v>
          </cell>
        </row>
        <row r="677">
          <cell r="B677" t="str">
            <v>RHES-EBAT</v>
          </cell>
          <cell r="C677" t="str">
            <v>VAR_fin</v>
          </cell>
          <cell r="D677" t="str">
            <v>RHES_ELC</v>
          </cell>
          <cell r="I677">
            <v>0.37370194937563056</v>
          </cell>
          <cell r="J677">
            <v>0.28210177614173199</v>
          </cell>
          <cell r="K677">
            <v>0.38724909424984733</v>
          </cell>
        </row>
        <row r="678">
          <cell r="B678" t="str">
            <v>RHES-EBAT</v>
          </cell>
          <cell r="C678" t="str">
            <v>VAR_fin</v>
          </cell>
          <cell r="D678" t="str">
            <v>AUX_RHES-EBAT_IN</v>
          </cell>
          <cell r="I678">
            <v>0.37370194937563056</v>
          </cell>
          <cell r="J678">
            <v>0.28210177614173199</v>
          </cell>
          <cell r="K678">
            <v>0.38724909424984733</v>
          </cell>
        </row>
        <row r="679">
          <cell r="B679" t="str">
            <v>RHES-EBAT</v>
          </cell>
          <cell r="C679" t="str">
            <v>VAR_ncap</v>
          </cell>
          <cell r="D679" t="str">
            <v>-</v>
          </cell>
          <cell r="I679">
            <v>4.6895935436974998E-2</v>
          </cell>
          <cell r="J679">
            <v>0.13466501010705401</v>
          </cell>
          <cell r="K679">
            <v>0.168680448848082</v>
          </cell>
        </row>
        <row r="680">
          <cell r="B680" t="str">
            <v>RHES-EBAT</v>
          </cell>
          <cell r="C680" t="str">
            <v>VAR_cap</v>
          </cell>
          <cell r="D680" t="str">
            <v>-</v>
          </cell>
          <cell r="I680">
            <v>0.17965808496467631</v>
          </cell>
          <cell r="J680">
            <v>0.19928707205040785</v>
          </cell>
          <cell r="K680">
            <v>0.24444474855625759</v>
          </cell>
        </row>
        <row r="681">
          <cell r="B681" t="str">
            <v>D-INGA</v>
          </cell>
          <cell r="C681" t="str">
            <v>VAR_fout</v>
          </cell>
          <cell r="D681" t="str">
            <v>CO2</v>
          </cell>
          <cell r="I681">
            <v>564.87058786660805</v>
          </cell>
          <cell r="J681">
            <v>190.91545391156501</v>
          </cell>
          <cell r="K681">
            <v>82.964183861554105</v>
          </cell>
        </row>
        <row r="682">
          <cell r="B682" t="str">
            <v>D-INGA</v>
          </cell>
          <cell r="C682" t="str">
            <v>VAR_fout</v>
          </cell>
          <cell r="D682" t="str">
            <v>IH2</v>
          </cell>
          <cell r="I682">
            <v>0.34632599996653485</v>
          </cell>
          <cell r="J682">
            <v>0.17797316713277056</v>
          </cell>
          <cell r="K682">
            <v>0.11976528174369434</v>
          </cell>
        </row>
        <row r="683">
          <cell r="B683" t="str">
            <v>D-INGA</v>
          </cell>
          <cell r="C683" t="str">
            <v>VAR_fout</v>
          </cell>
          <cell r="D683" t="str">
            <v>INGA</v>
          </cell>
          <cell r="I683">
            <v>12.349638230527157</v>
          </cell>
          <cell r="J683">
            <v>5.7408267820567955</v>
          </cell>
          <cell r="K683">
            <v>3.8625659259457166</v>
          </cell>
        </row>
        <row r="684">
          <cell r="B684" t="str">
            <v>D-INGA</v>
          </cell>
          <cell r="C684" t="str">
            <v>VAR_fin</v>
          </cell>
          <cell r="D684" t="str">
            <v>NGA</v>
          </cell>
          <cell r="I684">
            <v>10.015435955081704</v>
          </cell>
          <cell r="J684">
            <v>3.3850257785738451</v>
          </cell>
          <cell r="K684">
            <v>1.4709961677580501</v>
          </cell>
        </row>
        <row r="685">
          <cell r="B685" t="str">
            <v>D-INGA</v>
          </cell>
          <cell r="C685" t="str">
            <v>VAR_fin</v>
          </cell>
          <cell r="D685" t="str">
            <v>BNGA</v>
          </cell>
          <cell r="I685">
            <v>2.3749901100313537</v>
          </cell>
          <cell r="J685">
            <v>2.3749913578770276</v>
          </cell>
          <cell r="K685">
            <v>2.4046197811259602</v>
          </cell>
        </row>
        <row r="686">
          <cell r="B686" t="str">
            <v>D-INGA</v>
          </cell>
          <cell r="C686" t="str">
            <v>VAR_fin</v>
          </cell>
          <cell r="D686" t="str">
            <v>H2</v>
          </cell>
          <cell r="I686">
            <v>0.34632526543774828</v>
          </cell>
          <cell r="J686">
            <v>0.17797124394831348</v>
          </cell>
          <cell r="K686">
            <v>0.11975661345505229</v>
          </cell>
        </row>
        <row r="687">
          <cell r="B687" t="str">
            <v>D-INGA</v>
          </cell>
          <cell r="C687" t="str">
            <v>VAR_ncap</v>
          </cell>
          <cell r="D687" t="str">
            <v>-</v>
          </cell>
          <cell r="I687">
            <v>5.4181503997315301E-6</v>
          </cell>
          <cell r="J687">
            <v>4.6853671990394296E-6</v>
          </cell>
          <cell r="K687">
            <v>1.0034329441039301E-5</v>
          </cell>
        </row>
        <row r="688">
          <cell r="B688" t="str">
            <v>D-INGA</v>
          </cell>
          <cell r="C688" t="str">
            <v>VAR_cap</v>
          </cell>
          <cell r="D688" t="str">
            <v>-</v>
          </cell>
          <cell r="I688">
            <v>1.9844939187554922</v>
          </cell>
          <cell r="J688">
            <v>1.9844986041226913</v>
          </cell>
          <cell r="K688">
            <v>1.0954847056319521</v>
          </cell>
        </row>
        <row r="689">
          <cell r="B689" t="str">
            <v>EWIND</v>
          </cell>
          <cell r="C689" t="str">
            <v>VAR_fout</v>
          </cell>
          <cell r="D689" t="str">
            <v>ELC35</v>
          </cell>
          <cell r="I689">
            <v>3.6359078303036996</v>
          </cell>
          <cell r="J689">
            <v>7.1993529207808624</v>
          </cell>
          <cell r="K689">
            <v>21.925692576183096</v>
          </cell>
        </row>
        <row r="690">
          <cell r="B690" t="str">
            <v>EWIND</v>
          </cell>
          <cell r="C690" t="str">
            <v>VAR_fin</v>
          </cell>
          <cell r="D690" t="str">
            <v>WND</v>
          </cell>
          <cell r="I690">
            <v>3.6359078303036996</v>
          </cell>
          <cell r="J690">
            <v>7.1993529207808624</v>
          </cell>
          <cell r="K690">
            <v>21.925692576183096</v>
          </cell>
        </row>
        <row r="691">
          <cell r="B691" t="str">
            <v>EWIND</v>
          </cell>
          <cell r="C691" t="str">
            <v>VAR_ncap</v>
          </cell>
          <cell r="D691" t="str">
            <v>-</v>
          </cell>
          <cell r="I691">
            <v>0.74282620373569996</v>
          </cell>
          <cell r="J691">
            <v>1.0325616328441799E-5</v>
          </cell>
          <cell r="K691">
            <v>4.4927947670895501</v>
          </cell>
        </row>
        <row r="692">
          <cell r="B692" t="str">
            <v>EWIND</v>
          </cell>
          <cell r="C692" t="str">
            <v>VAR_cap</v>
          </cell>
          <cell r="D692" t="str">
            <v>-</v>
          </cell>
          <cell r="I692">
            <v>0.6045053368079768</v>
          </cell>
          <cell r="J692">
            <v>1.1969625587523769</v>
          </cell>
          <cell r="K692">
            <v>3.64535688387905</v>
          </cell>
        </row>
        <row r="693">
          <cell r="B693" t="str">
            <v>EGEO</v>
          </cell>
          <cell r="C693" t="str">
            <v>VAR_fout</v>
          </cell>
          <cell r="D693" t="str">
            <v>ELC35</v>
          </cell>
          <cell r="J693">
            <v>4.828731617635685E-2</v>
          </cell>
          <cell r="K693">
            <v>1.3516476520411631</v>
          </cell>
        </row>
        <row r="694">
          <cell r="B694" t="str">
            <v>EGEO</v>
          </cell>
          <cell r="C694" t="str">
            <v>VAR_fin</v>
          </cell>
          <cell r="D694" t="str">
            <v>GEO</v>
          </cell>
          <cell r="J694">
            <v>0.32191544117571202</v>
          </cell>
          <cell r="K694">
            <v>9.010984346941088</v>
          </cell>
        </row>
        <row r="695">
          <cell r="B695" t="str">
            <v>EGEO</v>
          </cell>
          <cell r="C695" t="str">
            <v>VAR_ncap</v>
          </cell>
          <cell r="D695" t="str">
            <v>-</v>
          </cell>
          <cell r="J695">
            <v>1.22401381725744E-2</v>
          </cell>
          <cell r="K695">
            <v>7.1751783007571901E-2</v>
          </cell>
        </row>
        <row r="696">
          <cell r="B696" t="str">
            <v>EGEO</v>
          </cell>
          <cell r="C696" t="str">
            <v>VAR_cap</v>
          </cell>
          <cell r="D696" t="str">
            <v>-</v>
          </cell>
          <cell r="J696">
            <v>1.9161932607464701E-3</v>
          </cell>
          <cell r="K696">
            <v>5.3640032772868898E-2</v>
          </cell>
        </row>
        <row r="697">
          <cell r="B697" t="str">
            <v>D-SPLT</v>
          </cell>
          <cell r="C697" t="str">
            <v>VAR_fout</v>
          </cell>
          <cell r="D697" t="str">
            <v>SPLT</v>
          </cell>
          <cell r="I697">
            <v>0.80003452310482681</v>
          </cell>
          <cell r="J697">
            <v>1.0209142697046476</v>
          </cell>
          <cell r="K697">
            <v>1.0644082415949554</v>
          </cell>
        </row>
        <row r="698">
          <cell r="B698" t="str">
            <v>D-SPLT</v>
          </cell>
          <cell r="C698" t="str">
            <v>VAR_fin</v>
          </cell>
          <cell r="D698" t="str">
            <v>PLT</v>
          </cell>
          <cell r="I698">
            <v>0.80003452310482681</v>
          </cell>
          <cell r="J698">
            <v>1.0209142697046476</v>
          </cell>
          <cell r="K698">
            <v>1.0644082415949554</v>
          </cell>
        </row>
        <row r="699">
          <cell r="B699" t="str">
            <v>RHES-ESOLPV</v>
          </cell>
          <cell r="C699" t="str">
            <v>VAR_fout</v>
          </cell>
          <cell r="D699" t="str">
            <v>RHES_SOL_ELC</v>
          </cell>
          <cell r="I699">
            <v>4.611441147089149</v>
          </cell>
          <cell r="J699">
            <v>4.8948564411938262</v>
          </cell>
          <cell r="K699">
            <v>5.5149971424265347</v>
          </cell>
        </row>
        <row r="700">
          <cell r="B700" t="str">
            <v>RHES-ESOLPV</v>
          </cell>
          <cell r="C700" t="str">
            <v>VAR_fin</v>
          </cell>
          <cell r="D700" t="str">
            <v>SOL</v>
          </cell>
          <cell r="I700">
            <v>4.611441147089149</v>
          </cell>
          <cell r="J700">
            <v>4.8948564411938262</v>
          </cell>
          <cell r="K700">
            <v>5.5149971424265347</v>
          </cell>
        </row>
        <row r="701">
          <cell r="B701" t="str">
            <v>RHES-ESOLPV</v>
          </cell>
          <cell r="C701" t="str">
            <v>VAR_fin</v>
          </cell>
          <cell r="D701" t="str">
            <v>SOLPVC</v>
          </cell>
          <cell r="I701">
            <v>4.6114411470891499</v>
          </cell>
          <cell r="J701">
            <v>4.89485644119382</v>
          </cell>
          <cell r="K701">
            <v>5.5149971424265303</v>
          </cell>
        </row>
        <row r="702">
          <cell r="B702" t="str">
            <v>RHES-ESOLPV</v>
          </cell>
          <cell r="C702" t="str">
            <v>VAR_ncap</v>
          </cell>
          <cell r="D702" t="str">
            <v>-</v>
          </cell>
          <cell r="I702">
            <v>0.29985266839924901</v>
          </cell>
          <cell r="J702">
            <v>0.66480827433934797</v>
          </cell>
          <cell r="K702">
            <v>0.68604141993164802</v>
          </cell>
        </row>
        <row r="703">
          <cell r="B703" t="str">
            <v>RHES-ESOLPV</v>
          </cell>
          <cell r="C703" t="str">
            <v>VAR_cap</v>
          </cell>
          <cell r="D703" t="str">
            <v>-</v>
          </cell>
          <cell r="I703">
            <v>1.3293463710104549</v>
          </cell>
          <cell r="J703">
            <v>1.4110473608716672</v>
          </cell>
          <cell r="K703">
            <v>1.5898147987148099</v>
          </cell>
        </row>
        <row r="704">
          <cell r="B704" t="str">
            <v>SUP_DAC</v>
          </cell>
          <cell r="C704" t="str">
            <v>VAR_fout</v>
          </cell>
          <cell r="D704" t="str">
            <v>CO2_O</v>
          </cell>
          <cell r="J704">
            <v>9.542348671357264E-3</v>
          </cell>
          <cell r="K704">
            <v>2.8994090499837349E-2</v>
          </cell>
        </row>
        <row r="705">
          <cell r="B705" t="str">
            <v>SUP_DAC</v>
          </cell>
          <cell r="C705" t="str">
            <v>VAR_fout</v>
          </cell>
          <cell r="D705" t="str">
            <v>CO2</v>
          </cell>
          <cell r="J705">
            <v>-9.5423486713572606E-3</v>
          </cell>
          <cell r="K705">
            <v>-2.8994090499837401E-2</v>
          </cell>
        </row>
        <row r="706">
          <cell r="B706" t="str">
            <v>SUP_DAC</v>
          </cell>
          <cell r="C706" t="str">
            <v>VAR_fin</v>
          </cell>
          <cell r="D706" t="str">
            <v>CHEAT</v>
          </cell>
          <cell r="J706">
            <v>6.3448797067254179E-5</v>
          </cell>
          <cell r="K706">
            <v>1.8480167846453719E-4</v>
          </cell>
        </row>
        <row r="707">
          <cell r="B707" t="str">
            <v>SUP_DAC</v>
          </cell>
          <cell r="C707" t="str">
            <v>VAR_fin</v>
          </cell>
          <cell r="D707" t="str">
            <v>CELC</v>
          </cell>
          <cell r="J707">
            <v>1.3232056824282072E-5</v>
          </cell>
          <cell r="K707">
            <v>2.6384622354852024E-5</v>
          </cell>
        </row>
        <row r="708">
          <cell r="B708" t="str">
            <v>SUP_DAC</v>
          </cell>
          <cell r="C708" t="str">
            <v>VAR_ncap</v>
          </cell>
          <cell r="D708" t="str">
            <v>-</v>
          </cell>
          <cell r="J708">
            <v>3.04839659257776E-3</v>
          </cell>
          <cell r="K708">
            <v>3.0915142992618198E-3</v>
          </cell>
        </row>
        <row r="709">
          <cell r="B709" t="str">
            <v>SUP_DAC</v>
          </cell>
          <cell r="C709" t="str">
            <v>VAR_cap</v>
          </cell>
          <cell r="D709" t="str">
            <v>-</v>
          </cell>
          <cell r="J709">
            <v>3.04839659257776E-3</v>
          </cell>
          <cell r="K709">
            <v>5.2875371297363668E-3</v>
          </cell>
        </row>
        <row r="710">
          <cell r="B710" t="str">
            <v>EHYD-DAM10</v>
          </cell>
          <cell r="C710" t="str">
            <v>VAR_fout</v>
          </cell>
          <cell r="D710" t="str">
            <v>ELC</v>
          </cell>
          <cell r="I710">
            <v>0.73079525580226401</v>
          </cell>
          <cell r="J710">
            <v>0.72960910180564953</v>
          </cell>
          <cell r="K710">
            <v>0.72948334125658298</v>
          </cell>
        </row>
        <row r="711">
          <cell r="B711" t="str">
            <v>EHYD-DAM10</v>
          </cell>
          <cell r="C711" t="str">
            <v>VAR_fin</v>
          </cell>
          <cell r="D711" t="str">
            <v>HYDD</v>
          </cell>
          <cell r="I711">
            <v>0.73079525580226401</v>
          </cell>
          <cell r="J711">
            <v>0.72960910180564953</v>
          </cell>
          <cell r="K711">
            <v>0.72948334125658298</v>
          </cell>
        </row>
        <row r="712">
          <cell r="B712" t="str">
            <v>EHYD-DAM10</v>
          </cell>
          <cell r="C712" t="str">
            <v>VAR_ncap</v>
          </cell>
          <cell r="D712" t="str">
            <v>-</v>
          </cell>
          <cell r="I712">
            <v>1.8791932157002999E-6</v>
          </cell>
          <cell r="J712">
            <v>5.5380188206217195E-7</v>
          </cell>
          <cell r="K712">
            <v>8.2309368543650995E-8</v>
          </cell>
        </row>
        <row r="713">
          <cell r="B713" t="str">
            <v>EHYD-DAM10</v>
          </cell>
          <cell r="C713" t="str">
            <v>VAR_cap</v>
          </cell>
          <cell r="D713" t="str">
            <v>-</v>
          </cell>
          <cell r="I713">
            <v>7.5212067254670306E-2</v>
          </cell>
          <cell r="J713">
            <v>7.5212621056552298E-2</v>
          </cell>
          <cell r="K713">
            <v>7.5212703365920897E-2</v>
          </cell>
        </row>
        <row r="714">
          <cell r="B714" t="str">
            <v>DH-EBAT</v>
          </cell>
          <cell r="C714" t="str">
            <v>VAR_fout</v>
          </cell>
          <cell r="D714" t="str">
            <v>ELC35</v>
          </cell>
          <cell r="I714">
            <v>0.11942236022249948</v>
          </cell>
          <cell r="J714">
            <v>0.57095641657651652</v>
          </cell>
          <cell r="K714">
            <v>2.2552794725689242</v>
          </cell>
        </row>
        <row r="715">
          <cell r="B715" t="str">
            <v>DH-EBAT</v>
          </cell>
          <cell r="C715" t="str">
            <v>VAR_fout</v>
          </cell>
          <cell r="D715" t="str">
            <v>AUX_DH-EBAT_OUT</v>
          </cell>
          <cell r="I715">
            <v>0.11942236022249945</v>
          </cell>
          <cell r="J715">
            <v>0.5709564165765163</v>
          </cell>
          <cell r="K715">
            <v>2.2552794725689229</v>
          </cell>
        </row>
        <row r="716">
          <cell r="B716" t="str">
            <v>DH-EBAT</v>
          </cell>
          <cell r="C716" t="str">
            <v>VAR_fin</v>
          </cell>
          <cell r="D716" t="str">
            <v>ELC35</v>
          </cell>
          <cell r="I716">
            <v>0.1335458823927323</v>
          </cell>
          <cell r="J716">
            <v>0.63846195408731121</v>
          </cell>
          <cell r="K716">
            <v>2.5219234522102965</v>
          </cell>
        </row>
        <row r="717">
          <cell r="B717" t="str">
            <v>DH-EBAT</v>
          </cell>
          <cell r="C717" t="str">
            <v>VAR_fin</v>
          </cell>
          <cell r="D717" t="str">
            <v>AUX_DH-EBAT_IN</v>
          </cell>
          <cell r="I717">
            <v>0.1335458823927323</v>
          </cell>
          <cell r="J717">
            <v>0.63846195408731121</v>
          </cell>
          <cell r="K717">
            <v>2.5219234522102965</v>
          </cell>
        </row>
        <row r="718">
          <cell r="B718" t="str">
            <v>DH-EBAT</v>
          </cell>
          <cell r="C718" t="str">
            <v>VAR_ncap</v>
          </cell>
          <cell r="D718" t="str">
            <v>-</v>
          </cell>
          <cell r="I718">
            <v>2.1727470519249101E-2</v>
          </cell>
          <cell r="J718">
            <v>0.199173030589162</v>
          </cell>
          <cell r="K718">
            <v>0.52730200725075005</v>
          </cell>
        </row>
        <row r="719">
          <cell r="B719" t="str">
            <v>DH-EBAT</v>
          </cell>
          <cell r="C719" t="str">
            <v>VAR_cap</v>
          </cell>
          <cell r="D719" t="str">
            <v>-</v>
          </cell>
          <cell r="I719">
            <v>3.4126445168775145E-2</v>
          </cell>
          <cell r="J719">
            <v>0.22282930113109764</v>
          </cell>
          <cell r="K719">
            <v>0.63100023159818364</v>
          </cell>
        </row>
        <row r="720">
          <cell r="B720" t="str">
            <v>RHEM-EBAT</v>
          </cell>
          <cell r="C720" t="str">
            <v>VAR_fout</v>
          </cell>
          <cell r="D720" t="str">
            <v>RHEM_ELC</v>
          </cell>
          <cell r="I720">
            <v>5.044499799208324E-2</v>
          </cell>
          <cell r="J720">
            <v>0.12652420759913058</v>
          </cell>
          <cell r="K720">
            <v>0.18029756915077647</v>
          </cell>
        </row>
        <row r="721">
          <cell r="B721" t="str">
            <v>RHEM-EBAT</v>
          </cell>
          <cell r="C721" t="str">
            <v>VAR_fout</v>
          </cell>
          <cell r="D721" t="str">
            <v>AUX_RHEM-EBAT_OUT</v>
          </cell>
          <cell r="I721">
            <v>5.0444997992083296E-2</v>
          </cell>
          <cell r="J721">
            <v>0.12652420759913072</v>
          </cell>
          <cell r="K721">
            <v>0.18029756915077663</v>
          </cell>
        </row>
        <row r="722">
          <cell r="B722" t="str">
            <v>RHEM-EBAT</v>
          </cell>
          <cell r="C722" t="str">
            <v>VAR_fin</v>
          </cell>
          <cell r="D722" t="str">
            <v>RHEM_ELC</v>
          </cell>
          <cell r="I722">
            <v>5.5787074611392949E-2</v>
          </cell>
          <cell r="J722">
            <v>0.13991981792096983</v>
          </cell>
          <cell r="K722">
            <v>0.199385885442948</v>
          </cell>
        </row>
        <row r="723">
          <cell r="B723" t="str">
            <v>RHEM-EBAT</v>
          </cell>
          <cell r="C723" t="str">
            <v>VAR_fin</v>
          </cell>
          <cell r="D723" t="str">
            <v>AUX_RHEM-EBAT_IN</v>
          </cell>
          <cell r="I723">
            <v>5.5787074611392949E-2</v>
          </cell>
          <cell r="J723">
            <v>0.13991981792096983</v>
          </cell>
          <cell r="K723">
            <v>0.199385885442948</v>
          </cell>
        </row>
        <row r="724">
          <cell r="B724" t="str">
            <v>RHEM-EBAT</v>
          </cell>
          <cell r="C724" t="str">
            <v>VAR_ncap</v>
          </cell>
          <cell r="D724" t="str">
            <v>-</v>
          </cell>
          <cell r="I724">
            <v>1.1173810849257001E-2</v>
          </cell>
          <cell r="J724">
            <v>8.2790670362802896E-2</v>
          </cell>
          <cell r="K724">
            <v>7.29003237662086E-2</v>
          </cell>
        </row>
        <row r="725">
          <cell r="B725" t="str">
            <v>RHEM-EBAT</v>
          </cell>
          <cell r="C725" t="str">
            <v>VAR_cap</v>
          </cell>
          <cell r="D725" t="str">
            <v>-</v>
          </cell>
          <cell r="I725">
            <v>2.1104226261263626E-2</v>
          </cell>
          <cell r="J725">
            <v>9.4100528648072362E-2</v>
          </cell>
          <cell r="K725">
            <v>0.11638054079659395</v>
          </cell>
        </row>
        <row r="726">
          <cell r="B726" t="str">
            <v>HPLGEO</v>
          </cell>
          <cell r="C726" t="str">
            <v>VAR_fout</v>
          </cell>
          <cell r="D726" t="str">
            <v>LTH</v>
          </cell>
          <cell r="J726">
            <v>3.8668859542250226E-4</v>
          </cell>
          <cell r="K726">
            <v>3.8958765975548781E-4</v>
          </cell>
        </row>
        <row r="727">
          <cell r="B727" t="str">
            <v>HPLGEO</v>
          </cell>
          <cell r="C727" t="str">
            <v>VAR_fin</v>
          </cell>
          <cell r="D727" t="str">
            <v>GEO</v>
          </cell>
          <cell r="J727">
            <v>4.5492775932059034E-4</v>
          </cell>
          <cell r="K727">
            <v>4.5833842324175022E-4</v>
          </cell>
        </row>
        <row r="728">
          <cell r="B728" t="str">
            <v>HPLGEO</v>
          </cell>
          <cell r="C728" t="str">
            <v>VAR_ncap</v>
          </cell>
          <cell r="D728" t="str">
            <v>-</v>
          </cell>
          <cell r="J728">
            <v>2.51646430734837E-5</v>
          </cell>
          <cell r="K728">
            <v>3.32411683299535E-7</v>
          </cell>
        </row>
        <row r="729">
          <cell r="B729" t="str">
            <v>HPLGEO</v>
          </cell>
          <cell r="C729" t="str">
            <v>VAR_cap</v>
          </cell>
          <cell r="D729" t="str">
            <v>-</v>
          </cell>
          <cell r="J729">
            <v>2.51646430734837E-5</v>
          </cell>
          <cell r="K729">
            <v>2.5497054756783201E-5</v>
          </cell>
        </row>
        <row r="730">
          <cell r="B730" t="str">
            <v>EHYD-PUM15</v>
          </cell>
          <cell r="C730" t="str">
            <v>VAR_fout</v>
          </cell>
          <cell r="D730" t="str">
            <v>ELC</v>
          </cell>
          <cell r="I730">
            <v>6.0920054966432536E-3</v>
          </cell>
          <cell r="J730">
            <v>5.877800252674645E-3</v>
          </cell>
          <cell r="K730">
            <v>5.5125529707778795E-3</v>
          </cell>
        </row>
        <row r="731">
          <cell r="B731" t="str">
            <v>EHYD-PUM15</v>
          </cell>
          <cell r="C731" t="str">
            <v>VAR_fout</v>
          </cell>
          <cell r="D731" t="str">
            <v>AUX_PUMP_OUT</v>
          </cell>
          <cell r="I731">
            <v>6.0920054966432536E-3</v>
          </cell>
          <cell r="J731">
            <v>5.877800252674645E-3</v>
          </cell>
          <cell r="K731">
            <v>5.5125529707778795E-3</v>
          </cell>
        </row>
        <row r="732">
          <cell r="B732" t="str">
            <v>EHYD-PUM15</v>
          </cell>
          <cell r="C732" t="str">
            <v>VAR_fin</v>
          </cell>
          <cell r="D732" t="str">
            <v>AUX_PUMP_IN</v>
          </cell>
          <cell r="I732">
            <v>7.6126891334000078E-3</v>
          </cell>
          <cell r="J732">
            <v>7.3449406269877919E-3</v>
          </cell>
          <cell r="K732">
            <v>6.8883751099961914E-3</v>
          </cell>
        </row>
        <row r="733">
          <cell r="B733" t="str">
            <v>EHYD-PUM15</v>
          </cell>
          <cell r="C733" t="str">
            <v>VAR_fin</v>
          </cell>
          <cell r="D733" t="str">
            <v>ELC</v>
          </cell>
          <cell r="I733">
            <v>7.6126891334000078E-3</v>
          </cell>
          <cell r="J733">
            <v>7.3449406269877919E-3</v>
          </cell>
          <cell r="K733">
            <v>6.8883751099961914E-3</v>
          </cell>
        </row>
        <row r="734">
          <cell r="B734" t="str">
            <v>EHYD-PUM15</v>
          </cell>
          <cell r="C734" t="str">
            <v>VAR_ncap</v>
          </cell>
          <cell r="D734" t="str">
            <v>-</v>
          </cell>
          <cell r="I734">
            <v>2.5719639316553802E-7</v>
          </cell>
          <cell r="J734">
            <v>3.8407013838203599E-7</v>
          </cell>
          <cell r="K734">
            <v>1.2529937832557799E-6</v>
          </cell>
        </row>
        <row r="735">
          <cell r="B735" t="str">
            <v>EHYD-PUM15</v>
          </cell>
          <cell r="C735" t="str">
            <v>VAR_cap</v>
          </cell>
          <cell r="D735" t="str">
            <v>-</v>
          </cell>
          <cell r="I735">
            <v>5.4678532621240804E-4</v>
          </cell>
          <cell r="J735">
            <v>5.4705138786765597E-4</v>
          </cell>
          <cell r="K735">
            <v>5.4781563501337597E-4</v>
          </cell>
        </row>
        <row r="736">
          <cell r="B736" t="str">
            <v>D-EWST</v>
          </cell>
          <cell r="C736" t="str">
            <v>VAR_fout</v>
          </cell>
          <cell r="D736" t="str">
            <v>CO2</v>
          </cell>
          <cell r="I736">
            <v>2240.4531071935698</v>
          </cell>
          <cell r="J736">
            <v>2460.2764420286198</v>
          </cell>
          <cell r="K736">
            <v>2552.9137978409099</v>
          </cell>
        </row>
        <row r="737">
          <cell r="B737" t="str">
            <v>D-EWST</v>
          </cell>
          <cell r="C737" t="str">
            <v>VAR_fout</v>
          </cell>
          <cell r="D737" t="str">
            <v>EWST</v>
          </cell>
          <cell r="I737">
            <v>48.285662984588711</v>
          </cell>
          <cell r="J737">
            <v>53.023199181651222</v>
          </cell>
          <cell r="K737">
            <v>55.019693918985212</v>
          </cell>
        </row>
        <row r="738">
          <cell r="B738" t="str">
            <v>D-EWST</v>
          </cell>
          <cell r="C738" t="str">
            <v>VAR_fin</v>
          </cell>
          <cell r="D738" t="str">
            <v>WSTNREN</v>
          </cell>
          <cell r="I738">
            <v>24.142813655103115</v>
          </cell>
          <cell r="J738">
            <v>26.511599590825607</v>
          </cell>
          <cell r="K738">
            <v>27.50984695949262</v>
          </cell>
        </row>
        <row r="739">
          <cell r="B739" t="str">
            <v>D-EWST</v>
          </cell>
          <cell r="C739" t="str">
            <v>VAR_fin</v>
          </cell>
          <cell r="D739" t="str">
            <v>WSTREN</v>
          </cell>
          <cell r="I739">
            <v>24.142813655103115</v>
          </cell>
          <cell r="J739">
            <v>26.511599590825607</v>
          </cell>
          <cell r="K739">
            <v>27.50984695949262</v>
          </cell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907.34182954159905</v>
          </cell>
          <cell r="E4">
            <v>1121.8547444603241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839.04504982158994</v>
          </cell>
          <cell r="E5">
            <v>965.20308271704289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67.788886706556866</v>
          </cell>
          <cell r="E6">
            <v>57.592272098018753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0.50789301345169224</v>
          </cell>
          <cell r="E7">
            <v>99.059389645261504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668.75003587752462</v>
          </cell>
          <cell r="E8">
            <v>2395.346128544375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745.97717072424769</v>
          </cell>
          <cell r="E9">
            <v>2285.5097586473453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228.56540649083678</v>
          </cell>
          <cell r="E10">
            <v>387.4154377858959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12.508578811542474</v>
          </cell>
          <cell r="E11">
            <v>37.976875587868371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82.985007078317381</v>
          </cell>
          <cell r="E12">
            <v>334.79331395094084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0.85688756752572603</v>
          </cell>
          <cell r="E13">
            <v>451.13234351381993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0.16555179169886114</v>
          </cell>
          <cell r="E14">
            <v>933.14820921078558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2.7397590750040807E-2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9.542348671357264E-3</v>
          </cell>
          <cell r="E16">
            <v>2.8994090499837349E-2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1739.777236236388</v>
          </cell>
          <cell r="E17">
            <v>6825.3327513583272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832.43540669479069</v>
          </cell>
          <cell r="E18">
            <v>3461.953053211641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832.43540669479069</v>
          </cell>
          <cell r="E19">
            <v>3461.953053211641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E20">
            <v>2241.5249536863598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E21">
            <v>2241.5249536863598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16.657142654899602</v>
          </cell>
          <cell r="I4">
            <v>26.826895794039199</v>
          </cell>
          <cell r="J4">
            <v>74.828746472319395</v>
          </cell>
        </row>
        <row r="5">
          <cell r="A5" t="str">
            <v>EXPELC_DE</v>
          </cell>
          <cell r="C5" t="str">
            <v>ELC_E-DE</v>
          </cell>
          <cell r="H5">
            <v>1.9138864364792599E-3</v>
          </cell>
          <cell r="I5">
            <v>5.3547850626956975E-3</v>
          </cell>
          <cell r="J5">
            <v>1.9723205449428878E-3</v>
          </cell>
        </row>
        <row r="6">
          <cell r="A6" t="str">
            <v>IMPDSL</v>
          </cell>
          <cell r="C6" t="str">
            <v>DSL</v>
          </cell>
          <cell r="H6">
            <v>33.347457535208655</v>
          </cell>
          <cell r="I6">
            <v>16.520789267810589</v>
          </cell>
        </row>
        <row r="7">
          <cell r="A7" t="str">
            <v>IMPH2</v>
          </cell>
          <cell r="C7" t="str">
            <v>H2</v>
          </cell>
          <cell r="I7">
            <v>8.9006088432262247E-6</v>
          </cell>
          <cell r="J7">
            <v>8.2548698153213751E-6</v>
          </cell>
        </row>
        <row r="8">
          <cell r="A8" t="str">
            <v>IMPELC_AT</v>
          </cell>
          <cell r="C8" t="str">
            <v>ELC_I-AT</v>
          </cell>
          <cell r="H8">
            <v>0.16260614910449114</v>
          </cell>
          <cell r="I8">
            <v>8.1266190898634447E-2</v>
          </cell>
          <cell r="J8">
            <v>7.3749348896935141</v>
          </cell>
        </row>
        <row r="9">
          <cell r="A9" t="str">
            <v>IMPELC_AT</v>
          </cell>
          <cell r="C9" t="str">
            <v>ELCS</v>
          </cell>
          <cell r="H9">
            <v>0.16260614910449114</v>
          </cell>
          <cell r="I9">
            <v>8.1266190898634447E-2</v>
          </cell>
          <cell r="J9">
            <v>7.3749348896935141</v>
          </cell>
        </row>
        <row r="10">
          <cell r="A10" t="str">
            <v>IMPELC_FR</v>
          </cell>
          <cell r="C10" t="str">
            <v>ELC_I-FR</v>
          </cell>
          <cell r="H10">
            <v>17.848631049132337</v>
          </cell>
          <cell r="I10">
            <v>8.8890220479343611</v>
          </cell>
          <cell r="J10">
            <v>6.2580409575924225</v>
          </cell>
        </row>
        <row r="11">
          <cell r="A11" t="str">
            <v>IMPELC_FR</v>
          </cell>
          <cell r="C11" t="str">
            <v>ELCS</v>
          </cell>
          <cell r="H11">
            <v>17.848631049132337</v>
          </cell>
          <cell r="I11">
            <v>8.8890220479343611</v>
          </cell>
          <cell r="J11">
            <v>6.2580409575924225</v>
          </cell>
        </row>
        <row r="12">
          <cell r="A12" t="str">
            <v>RNWHYDR1</v>
          </cell>
          <cell r="C12" t="str">
            <v>HYDR</v>
          </cell>
          <cell r="H12">
            <v>63.870159829891421</v>
          </cell>
          <cell r="I12">
            <v>64.382938209233757</v>
          </cell>
          <cell r="J12">
            <v>67.134977010270802</v>
          </cell>
        </row>
        <row r="13">
          <cell r="A13" t="str">
            <v>EXPELC_IT</v>
          </cell>
          <cell r="C13" t="str">
            <v>ELC_E-IT</v>
          </cell>
          <cell r="H13">
            <v>36.086940628207536</v>
          </cell>
          <cell r="I13">
            <v>27.407757195672538</v>
          </cell>
          <cell r="J13">
            <v>21.000654486057023</v>
          </cell>
        </row>
        <row r="14">
          <cell r="A14" t="str">
            <v>IMPLNG</v>
          </cell>
          <cell r="C14" t="str">
            <v>LBIO</v>
          </cell>
          <cell r="H14">
            <v>2.479228291336788E-3</v>
          </cell>
          <cell r="I14">
            <v>1.1458946389163638E-3</v>
          </cell>
          <cell r="J14">
            <v>1.1830706055654056E-5</v>
          </cell>
        </row>
        <row r="15">
          <cell r="A15" t="str">
            <v>IMPLNG</v>
          </cell>
          <cell r="C15" t="str">
            <v>LNGA</v>
          </cell>
          <cell r="H15">
            <v>6.4884856629986261E-3</v>
          </cell>
          <cell r="I15">
            <v>4.700379718471411E-3</v>
          </cell>
          <cell r="J15">
            <v>1.1970984679848482E-5</v>
          </cell>
        </row>
        <row r="16">
          <cell r="A16" t="str">
            <v>IMPURN1</v>
          </cell>
          <cell r="C16" t="str">
            <v>URN</v>
          </cell>
          <cell r="H16">
            <v>167.60293030252669</v>
          </cell>
          <cell r="I16">
            <v>98.945514148005145</v>
          </cell>
        </row>
        <row r="17">
          <cell r="A17" t="str">
            <v>EXPELC_AT</v>
          </cell>
          <cell r="C17" t="str">
            <v>ELC_E-AT</v>
          </cell>
          <cell r="H17">
            <v>4.7057548687569919E-4</v>
          </cell>
          <cell r="I17">
            <v>5.1036310283895622E-4</v>
          </cell>
          <cell r="J17">
            <v>3.2105811007765922E-4</v>
          </cell>
        </row>
        <row r="18">
          <cell r="A18" t="str">
            <v>EXPELC_FR</v>
          </cell>
          <cell r="C18" t="str">
            <v>ELC_E-FR</v>
          </cell>
          <cell r="H18">
            <v>1.4555511641189635E-3</v>
          </cell>
          <cell r="I18">
            <v>7.3393389985562081E-3</v>
          </cell>
          <cell r="J18">
            <v>5.6451789423198721E-3</v>
          </cell>
        </row>
        <row r="19">
          <cell r="A19" t="str">
            <v>RNWWND1</v>
          </cell>
          <cell r="C19" t="str">
            <v>WND</v>
          </cell>
          <cell r="H19">
            <v>0.87513346501763856</v>
          </cell>
          <cell r="I19">
            <v>0.87514370431060695</v>
          </cell>
          <cell r="J19">
            <v>0.87513931818156709</v>
          </cell>
        </row>
        <row r="20">
          <cell r="A20" t="str">
            <v>RNWWND2</v>
          </cell>
          <cell r="C20" t="str">
            <v>WND</v>
          </cell>
          <cell r="H20">
            <v>2.30676443980696</v>
          </cell>
          <cell r="I20">
            <v>2.3070473776924465</v>
          </cell>
          <cell r="J20">
            <v>2.3070820131104264</v>
          </cell>
        </row>
        <row r="21">
          <cell r="A21" t="str">
            <v>RNWMNR1</v>
          </cell>
          <cell r="C21" t="str">
            <v>MNR</v>
          </cell>
          <cell r="H21">
            <v>12.540435319465571</v>
          </cell>
          <cell r="I21">
            <v>12.540428608875313</v>
          </cell>
          <cell r="J21">
            <v>12.540425861320189</v>
          </cell>
        </row>
        <row r="22">
          <cell r="A22" t="str">
            <v>RNWWND3</v>
          </cell>
          <cell r="C22" t="str">
            <v>WND</v>
          </cell>
          <cell r="H22">
            <v>0.44541265764155358</v>
          </cell>
          <cell r="I22">
            <v>4.0095405287958767</v>
          </cell>
          <cell r="J22">
            <v>6.1741542657355861</v>
          </cell>
        </row>
        <row r="23">
          <cell r="A23" t="str">
            <v>RNWMNR2</v>
          </cell>
          <cell r="C23" t="str">
            <v>MNR</v>
          </cell>
          <cell r="I23">
            <v>2.090070763248276</v>
          </cell>
          <cell r="J23">
            <v>5.2027806227217237</v>
          </cell>
        </row>
        <row r="24">
          <cell r="A24" t="str">
            <v>RNWWND4</v>
          </cell>
          <cell r="C24" t="str">
            <v>WND</v>
          </cell>
          <cell r="H24">
            <v>5.8210014882926564E-3</v>
          </cell>
          <cell r="I24">
            <v>5.286937704388526E-3</v>
          </cell>
          <cell r="J24">
            <v>12.566772895438211</v>
          </cell>
        </row>
        <row r="25">
          <cell r="A25" t="str">
            <v>RNWMNR3</v>
          </cell>
          <cell r="C25" t="str">
            <v>MNR</v>
          </cell>
          <cell r="I25">
            <v>2.7297815282441182</v>
          </cell>
          <cell r="J25">
            <v>1.4554803958509357E-3</v>
          </cell>
        </row>
        <row r="26">
          <cell r="A26" t="str">
            <v>IMPLFO1</v>
          </cell>
          <cell r="C26" t="str">
            <v>LFO</v>
          </cell>
          <cell r="H26">
            <v>34.693068514381139</v>
          </cell>
          <cell r="I26">
            <v>16.729773330544852</v>
          </cell>
        </row>
        <row r="27">
          <cell r="A27" t="str">
            <v>RNWWND5</v>
          </cell>
          <cell r="C27" t="str">
            <v>WND</v>
          </cell>
          <cell r="H27">
            <v>2.8332069705984102E-3</v>
          </cell>
          <cell r="I27">
            <v>2.3707342425598474E-3</v>
          </cell>
          <cell r="J27">
            <v>2.5746664237963372E-3</v>
          </cell>
        </row>
        <row r="28">
          <cell r="A28" t="str">
            <v>IMPBNGA</v>
          </cell>
          <cell r="C28" t="str">
            <v>BIO</v>
          </cell>
          <cell r="H28">
            <v>1.2758398463266953</v>
          </cell>
          <cell r="I28">
            <v>5.2824015522901727E-3</v>
          </cell>
          <cell r="J28">
            <v>9.218894643606379E-4</v>
          </cell>
        </row>
        <row r="29">
          <cell r="A29" t="str">
            <v>RNWGEO1</v>
          </cell>
          <cell r="C29" t="str">
            <v>GEO</v>
          </cell>
          <cell r="I29">
            <v>0.28623732428763288</v>
          </cell>
          <cell r="J29">
            <v>8.9543532833746546</v>
          </cell>
        </row>
        <row r="30">
          <cell r="A30" t="str">
            <v>RNWGEO2</v>
          </cell>
          <cell r="C30" t="str">
            <v>GEO</v>
          </cell>
          <cell r="I30">
            <v>2.0660818605229815E-2</v>
          </cell>
          <cell r="J30">
            <v>3.7466814190325437E-2</v>
          </cell>
        </row>
        <row r="31">
          <cell r="A31" t="str">
            <v>IMPKERintl</v>
          </cell>
          <cell r="C31" t="str">
            <v>KERintl</v>
          </cell>
          <cell r="H31">
            <v>66.628570639966895</v>
          </cell>
          <cell r="I31">
            <v>52.0742671261441</v>
          </cell>
        </row>
        <row r="32">
          <cell r="A32" t="str">
            <v>RNWGEO3</v>
          </cell>
          <cell r="C32" t="str">
            <v>GEO</v>
          </cell>
          <cell r="I32">
            <v>6.9118920836052184E-3</v>
          </cell>
          <cell r="J32">
            <v>9.4871250497346252E-3</v>
          </cell>
        </row>
        <row r="33">
          <cell r="A33" t="str">
            <v>RNWGEO4</v>
          </cell>
          <cell r="C33" t="str">
            <v>GEO</v>
          </cell>
          <cell r="I33">
            <v>4.7830689111713507E-3</v>
          </cell>
          <cell r="J33">
            <v>5.7738891887706215E-3</v>
          </cell>
        </row>
        <row r="34">
          <cell r="A34" t="str">
            <v>RNWGEO5</v>
          </cell>
          <cell r="C34" t="str">
            <v>GEO</v>
          </cell>
          <cell r="I34">
            <v>3.8133920476078635E-3</v>
          </cell>
          <cell r="J34">
            <v>4.3903836960697369E-3</v>
          </cell>
        </row>
        <row r="35">
          <cell r="A35" t="str">
            <v>IMPGSL</v>
          </cell>
          <cell r="C35" t="str">
            <v>GSL</v>
          </cell>
          <cell r="H35">
            <v>16.782935118647938</v>
          </cell>
          <cell r="I35">
            <v>2.7234077441626163</v>
          </cell>
        </row>
        <row r="36">
          <cell r="A36" t="str">
            <v>RNWWOD1</v>
          </cell>
          <cell r="C36" t="str">
            <v>WOD</v>
          </cell>
          <cell r="H36">
            <v>16.424569312147934</v>
          </cell>
          <cell r="I36">
            <v>17.11364306333876</v>
          </cell>
          <cell r="J36">
            <v>18.429672491123057</v>
          </cell>
        </row>
        <row r="37">
          <cell r="A37" t="str">
            <v>RNWWOD2</v>
          </cell>
          <cell r="C37" t="str">
            <v>WOD</v>
          </cell>
          <cell r="H37">
            <v>7.6690263743061333</v>
          </cell>
          <cell r="I37">
            <v>7.6690274747497238</v>
          </cell>
          <cell r="J37">
            <v>7.6690281199681918</v>
          </cell>
        </row>
        <row r="38">
          <cell r="A38" t="str">
            <v>RNWWOD3</v>
          </cell>
          <cell r="C38" t="str">
            <v>WOD</v>
          </cell>
          <cell r="H38">
            <v>4.8053850877620814</v>
          </cell>
          <cell r="I38">
            <v>4.8053864532754424</v>
          </cell>
          <cell r="J38">
            <v>4.8053852262652237</v>
          </cell>
        </row>
        <row r="39">
          <cell r="A39" t="str">
            <v>RNWWOD4</v>
          </cell>
          <cell r="C39" t="str">
            <v>WOD</v>
          </cell>
          <cell r="H39">
            <v>24.230790635741311</v>
          </cell>
          <cell r="I39">
            <v>24.230793385624263</v>
          </cell>
          <cell r="J39">
            <v>22.934051986531802</v>
          </cell>
        </row>
        <row r="40">
          <cell r="A40" t="str">
            <v>RNWWOD5</v>
          </cell>
          <cell r="C40" t="str">
            <v>WOD</v>
          </cell>
          <cell r="H40">
            <v>0.38691794506061178</v>
          </cell>
          <cell r="I40">
            <v>2.0292309492589221E-2</v>
          </cell>
          <cell r="J40">
            <v>1.9269984210344882E-3</v>
          </cell>
        </row>
        <row r="41">
          <cell r="A41" t="str">
            <v>RNNWWST1</v>
          </cell>
          <cell r="C41" t="str">
            <v>WSTNREN</v>
          </cell>
          <cell r="H41">
            <v>34.937590039075637</v>
          </cell>
          <cell r="I41">
            <v>38.08248898081991</v>
          </cell>
          <cell r="J41">
            <v>39.221495089781584</v>
          </cell>
        </row>
        <row r="42">
          <cell r="A42" t="str">
            <v>RNWSOL1</v>
          </cell>
          <cell r="C42" t="str">
            <v>SOL</v>
          </cell>
          <cell r="H42">
            <v>62.131190716185813</v>
          </cell>
          <cell r="I42">
            <v>133.16152818492282</v>
          </cell>
          <cell r="J42">
            <v>151.38101177451421</v>
          </cell>
        </row>
        <row r="43">
          <cell r="A43" t="str">
            <v>IMPHFO1</v>
          </cell>
          <cell r="C43" t="str">
            <v>HFO</v>
          </cell>
          <cell r="H43">
            <v>9.4990656566637174E-3</v>
          </cell>
          <cell r="I43">
            <v>6.3857631950093999E-4</v>
          </cell>
        </row>
        <row r="44">
          <cell r="A44" t="str">
            <v>RNWHYDD1</v>
          </cell>
          <cell r="C44" t="str">
            <v>HYDD</v>
          </cell>
          <cell r="H44">
            <v>72.616242153095882</v>
          </cell>
          <cell r="I44">
            <v>73.931684780467123</v>
          </cell>
          <cell r="J44">
            <v>74.836059984174653</v>
          </cell>
        </row>
        <row r="45">
          <cell r="A45" t="str">
            <v>IMPKER</v>
          </cell>
          <cell r="C45" t="str">
            <v>KER</v>
          </cell>
          <cell r="H45">
            <v>2.5840771400642821</v>
          </cell>
          <cell r="I45">
            <v>2.1483243717315141</v>
          </cell>
        </row>
        <row r="46">
          <cell r="A46" t="str">
            <v>IMPBDS</v>
          </cell>
          <cell r="C46" t="str">
            <v>BDS</v>
          </cell>
          <cell r="H46">
            <v>3.2645972313088403</v>
          </cell>
          <cell r="I46">
            <v>3.2004474080873986</v>
          </cell>
          <cell r="J46">
            <v>5.7580834989702616</v>
          </cell>
        </row>
        <row r="47">
          <cell r="A47" t="str">
            <v>IMPCOA1</v>
          </cell>
          <cell r="C47" t="str">
            <v>COA</v>
          </cell>
          <cell r="H47">
            <v>6.1393082000861937E-3</v>
          </cell>
          <cell r="I47">
            <v>6.3677787950264936E-4</v>
          </cell>
          <cell r="J47">
            <v>5.0459877695822069E-6</v>
          </cell>
        </row>
        <row r="48">
          <cell r="A48" t="str">
            <v>IMPETH</v>
          </cell>
          <cell r="C48" t="str">
            <v>ETH</v>
          </cell>
          <cell r="H48">
            <v>1.3267848581271025</v>
          </cell>
          <cell r="I48">
            <v>2.6614911730490776</v>
          </cell>
          <cell r="J48">
            <v>0.10821410358253884</v>
          </cell>
        </row>
        <row r="49">
          <cell r="A49" t="str">
            <v>IMPELC_DE</v>
          </cell>
          <cell r="C49" t="str">
            <v>ELC_I-DE</v>
          </cell>
          <cell r="H49">
            <v>37.35861680196858</v>
          </cell>
          <cell r="I49">
            <v>16.450288581272044</v>
          </cell>
          <cell r="J49">
            <v>5.3753265889311699</v>
          </cell>
        </row>
        <row r="50">
          <cell r="A50" t="str">
            <v>IMPELC_DE</v>
          </cell>
          <cell r="C50" t="str">
            <v>ELCS</v>
          </cell>
          <cell r="H50">
            <v>37.35861680196858</v>
          </cell>
          <cell r="I50">
            <v>16.450288581272044</v>
          </cell>
          <cell r="J50">
            <v>5.3753265889311699</v>
          </cell>
        </row>
        <row r="51">
          <cell r="A51" t="str">
            <v>RNWWST1</v>
          </cell>
          <cell r="C51" t="str">
            <v>WSTREN</v>
          </cell>
          <cell r="H51">
            <v>37.333506207871316</v>
          </cell>
          <cell r="I51">
            <v>41.113208038344141</v>
          </cell>
          <cell r="J51">
            <v>44.60634689467544</v>
          </cell>
        </row>
        <row r="52">
          <cell r="A52" t="str">
            <v>IMPNGA1</v>
          </cell>
          <cell r="C52" t="str">
            <v>NGA</v>
          </cell>
          <cell r="H52">
            <v>54.781631985200029</v>
          </cell>
          <cell r="I52">
            <v>15.859415676860577</v>
          </cell>
          <cell r="J52">
            <v>4.3766899970154617E-6</v>
          </cell>
        </row>
        <row r="53">
          <cell r="A53" t="str">
            <v>IMPELC_IT</v>
          </cell>
          <cell r="C53" t="str">
            <v>ELC_I-IT</v>
          </cell>
          <cell r="H53">
            <v>5.6005698982760212E-4</v>
          </cell>
          <cell r="I53">
            <v>3.8865427327855912E-4</v>
          </cell>
          <cell r="J53">
            <v>2.8948329787970402E-4</v>
          </cell>
        </row>
        <row r="54">
          <cell r="A54" t="str">
            <v>IMPELC_IT</v>
          </cell>
          <cell r="C54" t="str">
            <v>ELCS</v>
          </cell>
          <cell r="H54">
            <v>5.6005698982760212E-4</v>
          </cell>
          <cell r="I54">
            <v>3.8865427327855912E-4</v>
          </cell>
          <cell r="J54">
            <v>2.8948329787970402E-4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0.81161864852850862</v>
          </cell>
          <cell r="I4">
            <v>0.87631543718274896</v>
          </cell>
          <cell r="J4">
            <v>0.77383089514551118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0.81161864852850862</v>
          </cell>
          <cell r="I5">
            <v>0.87631543718274896</v>
          </cell>
          <cell r="J5">
            <v>0.77383089514551118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1.2885645193040724E-4</v>
          </cell>
          <cell r="I6">
            <v>1.1332455481985476E-4</v>
          </cell>
          <cell r="J6">
            <v>1.2269760902422949E-4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1.2898530838233768E-4</v>
          </cell>
          <cell r="I7">
            <v>1.1343787937467458E-4</v>
          </cell>
          <cell r="J7">
            <v>1.2282030663325369E-4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1.0644002292685027E-4</v>
          </cell>
          <cell r="I8">
            <v>1.0409736216819614E-4</v>
          </cell>
          <cell r="J8">
            <v>1.168466065713916E-4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1.5526472069513001E-6</v>
          </cell>
          <cell r="I9">
            <v>2.1287456524342999E-5</v>
          </cell>
          <cell r="J9">
            <v>2.6320729446346701E-5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2.1519643073383401E-4</v>
          </cell>
          <cell r="I10">
            <v>5.5714807494334299E-5</v>
          </cell>
          <cell r="J10">
            <v>4.2426511748073303E-5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8.0367334359029705</v>
          </cell>
          <cell r="I11">
            <v>5.9748770837097496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0.10355868631924021</v>
          </cell>
          <cell r="I12">
            <v>7.6990287987372397E-2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0.10904658664725882</v>
          </cell>
          <cell r="I13">
            <v>8.1070245369196117E-2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3.3798016425277397E-2</v>
          </cell>
          <cell r="I15">
            <v>5.9845027664683047E-3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20.993675824032898</v>
          </cell>
          <cell r="I16">
            <v>24.917601099753899</v>
          </cell>
          <cell r="J16">
            <v>27.7775831390876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0.75006300159210759</v>
          </cell>
          <cell r="I17">
            <v>0.901614490204379</v>
          </cell>
          <cell r="J17">
            <v>1.0525987253403308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0.37222829475235747</v>
          </cell>
          <cell r="I18">
            <v>0.4418014379388982</v>
          </cell>
          <cell r="J18">
            <v>0.49251033934552491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0.75006300159210759</v>
          </cell>
          <cell r="I19">
            <v>0.901614490204379</v>
          </cell>
          <cell r="J19">
            <v>1.0525987253403308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1.53060368203924E-2</v>
          </cell>
          <cell r="I20">
            <v>3.07646745080985E-2</v>
          </cell>
          <cell r="J20">
            <v>4.8145292360528703E-2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5.4716790226542064E-2</v>
          </cell>
          <cell r="I21">
            <v>6.5950440113747497E-2</v>
          </cell>
          <cell r="J21">
            <v>7.6946350059086704E-2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0.54625358172818406</v>
          </cell>
          <cell r="I22">
            <v>0.54625876101163784</v>
          </cell>
          <cell r="J22">
            <v>0.54627672357735635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0.54625358172818406</v>
          </cell>
          <cell r="I23">
            <v>0.54625876101163784</v>
          </cell>
          <cell r="J23">
            <v>0.54627672357735635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0.73445859728159224</v>
          </cell>
          <cell r="I24">
            <v>0.73241398124465429</v>
          </cell>
          <cell r="J24">
            <v>0.72836896476980884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2.9061822391616299E-2</v>
          </cell>
          <cell r="I25">
            <v>1.4102930624907599E-2</v>
          </cell>
          <cell r="J25">
            <v>1.95933841898044E-2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4.1217463460750919E-2</v>
          </cell>
          <cell r="I26">
            <v>4.3196108566722353E-2</v>
          </cell>
          <cell r="J26">
            <v>4.2102176822085717E-2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3.2321529238921128E-3</v>
          </cell>
          <cell r="I27">
            <v>3.5555137282796733E-3</v>
          </cell>
          <cell r="J27">
            <v>1.2199743539449423E-3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1.456709357182387E-3</v>
          </cell>
          <cell r="I28">
            <v>1.3360869593029309E-3</v>
          </cell>
          <cell r="J28">
            <v>6.2248936792733351E-4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4.6634174390540115E-3</v>
          </cell>
          <cell r="I29">
            <v>4.8774856888247802E-3</v>
          </cell>
          <cell r="J29">
            <v>1.8301517015397808E-3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1.0872363085797871</v>
          </cell>
          <cell r="I30">
            <v>1.0219586702080579</v>
          </cell>
          <cell r="J30">
            <v>0.76416381672424016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2.3650120661223482</v>
          </cell>
          <cell r="I31">
            <v>2.1711991061035425</v>
          </cell>
          <cell r="J31">
            <v>1.534672700766011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2.3596995649288799E-2</v>
          </cell>
          <cell r="I32">
            <v>4.1593974270592499E-2</v>
          </cell>
          <cell r="J32">
            <v>1.45984302121904E-2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7.4368625838704849E-2</v>
          </cell>
          <cell r="I33">
            <v>7.246934652241506E-2</v>
          </cell>
          <cell r="J33">
            <v>5.4765471905281415E-2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3.5092779972350927</v>
          </cell>
          <cell r="I34">
            <v>2.7500146983054381</v>
          </cell>
          <cell r="J34">
            <v>1.4838280763285847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4.815186002206258</v>
          </cell>
          <cell r="I35">
            <v>3.7495140878026865</v>
          </cell>
          <cell r="J35">
            <v>1.9607456410459698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0.15073798173525199</v>
          </cell>
          <cell r="I36">
            <v>6.9699139896340495E-2</v>
          </cell>
          <cell r="J36">
            <v>5.7664152019057903E-3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0.28358241173959348</v>
          </cell>
          <cell r="I37">
            <v>0.22293849909200739</v>
          </cell>
          <cell r="J37">
            <v>0.1201105038468776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1.0833314725316824E-2</v>
          </cell>
          <cell r="J38">
            <v>0.82239255833675506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1.0942742146784664E-2</v>
          </cell>
          <cell r="J39">
            <v>0.83069955387551053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5.0553537925681999E-6</v>
          </cell>
          <cell r="I40">
            <v>1.7650259618148399E-3</v>
          </cell>
          <cell r="J40">
            <v>8.6746574075715496E-2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6.7337976008665397E-6</v>
          </cell>
          <cell r="I41">
            <v>1.7717597594157E-3</v>
          </cell>
          <cell r="J41">
            <v>8.8518333835131205E-2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5.7094151002706734</v>
          </cell>
          <cell r="I42">
            <v>4.8081762819502858</v>
          </cell>
          <cell r="J42">
            <v>3.3392636510986593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8.4267767373464171</v>
          </cell>
          <cell r="I43">
            <v>7.0734554788468929</v>
          </cell>
          <cell r="J43">
            <v>4.7508369587386641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0.27097589050916698</v>
          </cell>
          <cell r="I44">
            <v>9.6871867321562194E-2</v>
          </cell>
          <cell r="J44">
            <v>8.5857657106804097E-2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0.44200365973737604</v>
          </cell>
          <cell r="I45">
            <v>0.37616432689671797</v>
          </cell>
          <cell r="J45">
            <v>0.27078098835368941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7.2428043452775217</v>
          </cell>
          <cell r="I46">
            <v>6.8163623200113763</v>
          </cell>
          <cell r="J46">
            <v>8.7705302113078112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7.2428043452775217</v>
          </cell>
          <cell r="I47">
            <v>6.8163623200113763</v>
          </cell>
          <cell r="J47">
            <v>8.7705302113078112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7.7106312796327856</v>
          </cell>
          <cell r="I48">
            <v>7.2186024851477777</v>
          </cell>
          <cell r="J48">
            <v>9.232137064534534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0.229246682451406</v>
          </cell>
          <cell r="I49">
            <v>0.26824798183889598</v>
          </cell>
          <cell r="J49">
            <v>0.40548119938488902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0.40235691074041502</v>
          </cell>
          <cell r="I50">
            <v>0.49424617269336302</v>
          </cell>
          <cell r="J50">
            <v>0.62281744687285934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0.28545804245592366</v>
          </cell>
          <cell r="I51">
            <v>0.52624949001436205</v>
          </cell>
          <cell r="J51">
            <v>0.5747622811107187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0.28574350049837977</v>
          </cell>
          <cell r="I52">
            <v>0.52677573950437639</v>
          </cell>
          <cell r="J52">
            <v>0.57533704339182912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0.28546773245804552</v>
          </cell>
          <cell r="I53">
            <v>0.52625397072141933</v>
          </cell>
          <cell r="J53">
            <v>0.57477227892473426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2.2572128764858899E-2</v>
          </cell>
          <cell r="I54">
            <v>4.75021367784422E-2</v>
          </cell>
          <cell r="J54">
            <v>6.4600002895242606E-2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7.3440504773965631E-2</v>
          </cell>
          <cell r="I55">
            <v>9.6105298551923471E-2</v>
          </cell>
          <cell r="J55">
            <v>0.10851040788662164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0.17280820696506635</v>
          </cell>
          <cell r="I56">
            <v>0.18366375607401417</v>
          </cell>
          <cell r="J56">
            <v>0.20962765035380582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6.1389271823884686</v>
          </cell>
          <cell r="I57">
            <v>6.5168842093504713</v>
          </cell>
          <cell r="J57">
            <v>6.0830232688850643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2.3385197754349307</v>
          </cell>
          <cell r="I58">
            <v>2.544872958116577</v>
          </cell>
          <cell r="J58">
            <v>2.4766029494781772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2.0039641704943274</v>
          </cell>
          <cell r="I59">
            <v>1.4659273853811012</v>
          </cell>
          <cell r="J59">
            <v>3.076401507669261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0.29331866602235923</v>
          </cell>
          <cell r="I60">
            <v>0.3277511398904594</v>
          </cell>
          <cell r="J60">
            <v>0.39006542987170395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11.985226055141858</v>
          </cell>
          <cell r="I61">
            <v>12.041182734409597</v>
          </cell>
          <cell r="J61">
            <v>13.24938267291598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4.0371689213645201E-6</v>
          </cell>
          <cell r="I62">
            <v>1.44294618525595E-2</v>
          </cell>
          <cell r="J62">
            <v>5.2999865452699605E-7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0.62769279697112501</v>
          </cell>
          <cell r="I63">
            <v>0.64212225882368501</v>
          </cell>
          <cell r="J63">
            <v>0.64212278882233897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2.4725849511816221E-3</v>
          </cell>
          <cell r="I64">
            <v>1.1279835461024592E-3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1.682218985413295E-2</v>
          </cell>
          <cell r="I65">
            <v>1.9917094429674109E-3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1.9258328945126593E-2</v>
          </cell>
          <cell r="I66">
            <v>3.0982117577226767E-3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60.534908514460938</v>
          </cell>
          <cell r="I67">
            <v>60.655700361463069</v>
          </cell>
          <cell r="J67">
            <v>59.478936662548541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6.9961932586655982</v>
          </cell>
          <cell r="I68">
            <v>9.217509888351378</v>
          </cell>
          <cell r="J68">
            <v>13.963903871023351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5.7094151002706734</v>
          </cell>
          <cell r="I69">
            <v>4.8081762819502858</v>
          </cell>
          <cell r="J69">
            <v>3.3392636510986593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6.8817694338727433</v>
          </cell>
          <cell r="I70">
            <v>7.6535369060350167</v>
          </cell>
          <cell r="J70">
            <v>7.4648966538555781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0.26778783914894755</v>
          </cell>
          <cell r="I71">
            <v>0.22211766281572351</v>
          </cell>
          <cell r="J71">
            <v>0.16175123801790278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11.536044654803069</v>
          </cell>
          <cell r="I73">
            <v>15.731043089221973</v>
          </cell>
          <cell r="J73">
            <v>18.718025314523359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0.53234852514880171</v>
          </cell>
          <cell r="I74">
            <v>0.69022348466093519</v>
          </cell>
          <cell r="J74">
            <v>0.7260462576857678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0.66835113896048459</v>
          </cell>
          <cell r="I76">
            <v>0.75268788643970308</v>
          </cell>
          <cell r="J76">
            <v>0.80338940272953052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9.7844392380797895</v>
          </cell>
          <cell r="I77">
            <v>5.188670710179438</v>
          </cell>
          <cell r="J77">
            <v>1.9558028228232156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8.5169719491430733</v>
          </cell>
          <cell r="I78">
            <v>10.848015777275592</v>
          </cell>
          <cell r="J78">
            <v>11.304738032923455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9.6415873763678341</v>
          </cell>
          <cell r="I80">
            <v>5.543718674533042</v>
          </cell>
          <cell r="J80">
            <v>1.0411194178677152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1.4868312974596978E-3</v>
          </cell>
          <cell r="I81">
            <v>9.8322694487888631E-4</v>
          </cell>
          <cell r="J81">
            <v>7.9350863129544209E-4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1.7353635648776568E-3</v>
          </cell>
          <cell r="I82">
            <v>1.1477603527722808E-3</v>
          </cell>
          <cell r="J82">
            <v>8.8171631550660397E-4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1.02988600854835E-4</v>
          </cell>
          <cell r="I83">
            <v>9.6490244837327895E-5</v>
          </cell>
          <cell r="J83">
            <v>7.6642631432495906E-5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1.5043359102025005E-4</v>
          </cell>
          <cell r="I84">
            <v>1.0296080707178002E-4</v>
          </cell>
          <cell r="J84">
            <v>5.7312852773870978E-5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7.9516115669683612E-2</v>
          </cell>
          <cell r="I85">
            <v>0.69775375965072395</v>
          </cell>
          <cell r="J85">
            <v>0.82560016429788396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7.9520999530989886E-2</v>
          </cell>
          <cell r="I86">
            <v>0.69775772685727611</v>
          </cell>
          <cell r="J86">
            <v>0.82560413150443246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4.2818300008391098E-5</v>
          </cell>
          <cell r="I87">
            <v>2.8293475861042701E-2</v>
          </cell>
          <cell r="J87">
            <v>7.9588504654196507E-3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2.9823016426422646E-3</v>
          </cell>
          <cell r="I88">
            <v>3.0114059209105381E-2</v>
          </cell>
          <cell r="J88">
            <v>3.6294831192901826E-2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1.025533355926414E-2</v>
          </cell>
          <cell r="I89">
            <v>9.4341177791743664E-4</v>
          </cell>
          <cell r="J89">
            <v>1.7589747584484996E-5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9.3397020052273725E-6</v>
          </cell>
          <cell r="I90">
            <v>4.1140992170502817E-6</v>
          </cell>
          <cell r="J90">
            <v>1.0219964568144681E-5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>
            <v>2.2338180828065809E-3</v>
          </cell>
          <cell r="J91">
            <v>6.8472566797071782E-6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1.0265325756647164E-2</v>
          </cell>
          <cell r="I92">
            <v>3.1817904970796386E-3</v>
          </cell>
          <cell r="J92">
            <v>3.4656968832336861E-5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6.1393082000861937E-3</v>
          </cell>
          <cell r="I93">
            <v>6.3677787950264936E-4</v>
          </cell>
          <cell r="J93">
            <v>5.0459877695822069E-6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0.56911387014798998</v>
          </cell>
          <cell r="I94">
            <v>5.90293094298956E-2</v>
          </cell>
          <cell r="J94">
            <v>4.6776306624027E-4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6.1393082000861937E-3</v>
          </cell>
          <cell r="I95">
            <v>6.3677787950264936E-4</v>
          </cell>
          <cell r="J95">
            <v>5.0459877695822069E-6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4.0412736087255308</v>
          </cell>
          <cell r="I96">
            <v>4.041454135052426</v>
          </cell>
          <cell r="J96">
            <v>4.2470541378483828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4.0412736087255308</v>
          </cell>
          <cell r="I97">
            <v>4.041454135052426</v>
          </cell>
          <cell r="J97">
            <v>4.2470541378483828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6.0789584953772201E-2</v>
          </cell>
          <cell r="I98">
            <v>7.6957150011969194E-6</v>
          </cell>
          <cell r="J98">
            <v>3.9866751485097898E-2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0.28539932075526753</v>
          </cell>
          <cell r="I99">
            <v>0.28540706282533951</v>
          </cell>
          <cell r="J99">
            <v>0.29991536965047566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3.9035620653007784E-3</v>
          </cell>
          <cell r="I100">
            <v>3.1067474378056108E-3</v>
          </cell>
          <cell r="J100">
            <v>4.0852053449580619E-3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4.1959394242811572E-3</v>
          </cell>
          <cell r="I101">
            <v>3.3394432668175343E-3</v>
          </cell>
          <cell r="J101">
            <v>4.3911878116565462E-3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6.7396748682955899E-5</v>
          </cell>
          <cell r="I102">
            <v>3.2765158001738301E-4</v>
          </cell>
          <cell r="J102">
            <v>2.1826603711087801E-4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4.9549648794296186E-4</v>
          </cell>
          <cell r="I103">
            <v>3.9357626924265169E-4</v>
          </cell>
          <cell r="J103">
            <v>4.8286771085728438E-4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4.6258289737738899E-4</v>
          </cell>
          <cell r="I107">
            <v>1.89636132809597E-4</v>
          </cell>
          <cell r="J107">
            <v>5.0399365109756101E-8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8.2707890890849987E-4</v>
          </cell>
          <cell r="I108">
            <v>3.7869436537962895E-4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3.1807079709188577</v>
          </cell>
          <cell r="I109">
            <v>4.0245173276708739</v>
          </cell>
          <cell r="J109">
            <v>6.6148575597384349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3.1807079709188577</v>
          </cell>
          <cell r="I110">
            <v>4.0245173276708739</v>
          </cell>
          <cell r="J110">
            <v>6.6148575597384349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0.13878856023913599</v>
          </cell>
          <cell r="I111">
            <v>5.9579594570059E-2</v>
          </cell>
          <cell r="J111">
            <v>0.22239693891561199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0.22463154398118423</v>
          </cell>
          <cell r="I112">
            <v>0.28421118185066924</v>
          </cell>
          <cell r="J112">
            <v>0.4671119795531582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2.0940507838819018E-2</v>
          </cell>
          <cell r="I113">
            <v>0.76011243917522042</v>
          </cell>
          <cell r="J113">
            <v>4.0115647822698634E-5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/>
          <cell r="I114">
            <v>0.40445539780927098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>
            <v>0.34431970160553915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>
            <v>2.6518070456257605E-3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6.5050258198794402E-4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1.8505128336978337E-2</v>
          </cell>
          <cell r="I118">
            <v>3.2340554448705419E-3</v>
          </cell>
          <cell r="J118">
            <v>1.3742438366673966E-5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>
            <v>2.435379501840685E-3</v>
          </cell>
          <cell r="I119">
            <v>2.4393873324233201E-3</v>
          </cell>
          <cell r="J119">
            <v>1.0961774557680146E-5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>
            <v>2.2338180828065809E-3</v>
          </cell>
          <cell r="J120">
            <v>6.8472566797071782E-6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1.2776927269658186E-4</v>
          </cell>
          <cell r="J121">
            <v>8.5641782186373454E-6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2.6610427133376299E-2</v>
          </cell>
          <cell r="I122">
            <v>2.86193332056686E-2</v>
          </cell>
          <cell r="J122">
            <v>9.7311140145611204E-3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2.6920934346552055E-2</v>
          </cell>
          <cell r="I123">
            <v>4.5512663221759002E-2</v>
          </cell>
          <cell r="J123">
            <v>2.0101698361141302E-2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/>
          <cell r="I124">
            <v>0.40445539780927098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0.47574004861496971</v>
          </cell>
          <cell r="I125">
            <v>0.60492644058235634</v>
          </cell>
          <cell r="J125">
            <v>0.38826580662534133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3.65639184225043E-4</v>
          </cell>
          <cell r="I126">
            <v>7.2223110158923002E-4</v>
          </cell>
          <cell r="J126">
            <v>3.4135099949108465E-4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0.47610568779919471</v>
          </cell>
          <cell r="I127">
            <v>1.0101041001980398</v>
          </cell>
          <cell r="J127">
            <v>0.38860720641844088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2.092601618550554</v>
          </cell>
          <cell r="I128">
            <v>2.2786299923254059</v>
          </cell>
          <cell r="J128">
            <v>2.2237317805448487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2.092601618550554</v>
          </cell>
          <cell r="I129">
            <v>2.2786299923254059</v>
          </cell>
          <cell r="J129">
            <v>2.2237317805448487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2.3385197754349307</v>
          </cell>
          <cell r="I130">
            <v>2.544872958116577</v>
          </cell>
          <cell r="J130">
            <v>2.4766029494781772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6.2224606426958803E-2</v>
          </cell>
          <cell r="I131">
            <v>7.2245280467415393E-2</v>
          </cell>
          <cell r="J131">
            <v>6.39777045396034E-2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0.17460955402385298</v>
          </cell>
          <cell r="I132">
            <v>0.18653662850234404</v>
          </cell>
          <cell r="J132">
            <v>0.18248559731404312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0.97624399043860366</v>
          </cell>
          <cell r="I133">
            <v>2.7610199559364328</v>
          </cell>
          <cell r="J133">
            <v>4.8426200111632909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0.97624399043860366</v>
          </cell>
          <cell r="I134">
            <v>2.7610199559364328</v>
          </cell>
          <cell r="J134">
            <v>4.8426200111632909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1.0341751160273E-6</v>
          </cell>
          <cell r="I135">
            <v>0.12602513738959001</v>
          </cell>
          <cell r="J135">
            <v>0.178706058750536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6.8964240247177497E-2</v>
          </cell>
          <cell r="I136">
            <v>0.19498942430479599</v>
          </cell>
          <cell r="J136">
            <v>0.34195909322927615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54.931204734967714</v>
          </cell>
          <cell r="I137">
            <v>54.900040366415688</v>
          </cell>
          <cell r="J137">
            <v>51.585244179905409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17.647488988629789</v>
          </cell>
          <cell r="I138">
            <v>15.777754734993456</v>
          </cell>
          <cell r="J138">
            <v>14.940480943587582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12.165992024556253</v>
          </cell>
          <cell r="I139">
            <v>9.8048760313052963</v>
          </cell>
          <cell r="J139">
            <v>9.060463547120408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13.541156325246572</v>
          </cell>
          <cell r="I140">
            <v>15.936005344064181</v>
          </cell>
          <cell r="J140">
            <v>14.93684252633815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11.57656739653509</v>
          </cell>
          <cell r="I141">
            <v>13.381404256052726</v>
          </cell>
          <cell r="J141">
            <v>12.64745716285926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6.8817694338727433</v>
          </cell>
          <cell r="I142">
            <v>7.6535369060350167</v>
          </cell>
          <cell r="J142">
            <v>7.4648966538555781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6.8817694338727433</v>
          </cell>
          <cell r="I143">
            <v>7.6535369060350167</v>
          </cell>
          <cell r="J143">
            <v>7.4648966538555781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8.3448122646052489</v>
          </cell>
          <cell r="I144">
            <v>9.2806551069160488</v>
          </cell>
          <cell r="J144">
            <v>9.0519105223856542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0.48544120960540099</v>
          </cell>
          <cell r="I145">
            <v>0.312120248871121</v>
          </cell>
          <cell r="J145">
            <v>0.50102998005903199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0.84969679037405399</v>
          </cell>
          <cell r="I146">
            <v>0.84970003827007101</v>
          </cell>
          <cell r="J146">
            <v>0.84970096446328325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4.7643104229025748E-2</v>
          </cell>
          <cell r="I147">
            <v>0.70790776111691078</v>
          </cell>
          <cell r="J147">
            <v>1.4018108469916055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5.7834210070471938E-2</v>
          </cell>
          <cell r="I148">
            <v>0.83292348646640135</v>
          </cell>
          <cell r="J148">
            <v>1.5576606664643367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0.14533812902502899</v>
          </cell>
          <cell r="I149">
            <v>7.4220605335680701E-2</v>
          </cell>
          <cell r="J149">
            <v>0.17079540783267999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0.3159861622543908</v>
          </cell>
          <cell r="I150">
            <v>0.26768822982877322</v>
          </cell>
          <cell r="J150">
            <v>0.28612811852676806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2.6382383056720803E-3</v>
          </cell>
          <cell r="I151">
            <v>0.71925449150000487</v>
          </cell>
          <cell r="J151">
            <v>0.68131624771184329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18.812041381587775</v>
          </cell>
          <cell r="I152">
            <v>39.687491372874305</v>
          </cell>
          <cell r="J152">
            <v>42.48295793269439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18.81467961989345</v>
          </cell>
          <cell r="I153">
            <v>40.406745864374315</v>
          </cell>
          <cell r="J153">
            <v>43.164274180406231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464.52354671637602</v>
          </cell>
          <cell r="I154">
            <v>214.475488671005</v>
          </cell>
          <cell r="J154">
            <v>6.4927225052698902E-4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6.4335629670792569</v>
          </cell>
          <cell r="I155">
            <v>3.0974321926110302</v>
          </cell>
          <cell r="J155">
            <v>0.23592999833470277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6.3028975131122866</v>
          </cell>
          <cell r="I156">
            <v>2.9101151787110573</v>
          </cell>
          <cell r="J156">
            <v>8.8096641862549332E-6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0.23993955273925041</v>
          </cell>
          <cell r="I157">
            <v>0.23994122027449963</v>
          </cell>
          <cell r="J157">
            <v>0.23994475789014016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0.80156921918391444</v>
          </cell>
          <cell r="I158">
            <v>1.1276551073481631</v>
          </cell>
          <cell r="J158">
            <v>1.0243349137321167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0.80076845073318104</v>
          </cell>
          <cell r="I159">
            <v>1.1265285787693937</v>
          </cell>
          <cell r="J159">
            <v>1.0233116021299866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0.80080878683626266</v>
          </cell>
          <cell r="I160">
            <v>1.1265587988713832</v>
          </cell>
          <cell r="J160">
            <v>1.0233487518647191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2.81909459626596E-2</v>
          </cell>
          <cell r="I161">
            <v>9.0581959919609004E-2</v>
          </cell>
          <cell r="J161">
            <v>8.4061809406601795E-2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0.14351353162431668</v>
          </cell>
          <cell r="I162">
            <v>0.17696418100158826</v>
          </cell>
          <cell r="J162">
            <v>0.16159639377900231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0.53679156805824424</v>
          </cell>
          <cell r="I163">
            <v>0.53685421258524202</v>
          </cell>
          <cell r="J163">
            <v>1.3292581039296576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0.53679156805824424</v>
          </cell>
          <cell r="I164">
            <v>0.53685421258524202</v>
          </cell>
          <cell r="J164">
            <v>1.3292581039296576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1.61901145252657E-7</v>
          </cell>
          <cell r="I165">
            <v>1.54680550056342E-7</v>
          </cell>
          <cell r="J165">
            <v>7.1940085886940494E-2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3.7932093129196036E-2</v>
          </cell>
          <cell r="I166">
            <v>3.7932300037519809E-2</v>
          </cell>
          <cell r="J166">
            <v>9.3867767811941741E-2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3.9079119212010105E-3</v>
          </cell>
          <cell r="I167">
            <v>8.2478165794658224E-3</v>
          </cell>
          <cell r="J167">
            <v>8.1579531961010997E-3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3.9079119212010105E-3</v>
          </cell>
          <cell r="I168">
            <v>8.2478165794658224E-3</v>
          </cell>
          <cell r="J168">
            <v>8.1579531961010997E-3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7.0122690199471798E-5</v>
          </cell>
          <cell r="I169">
            <v>3.3185730479013998E-4</v>
          </cell>
          <cell r="J169">
            <v>7.6650669586254604E-8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3.0599363935418262E-4</v>
          </cell>
          <cell r="I170">
            <v>6.3788360732767373E-4</v>
          </cell>
          <cell r="J170">
            <v>6.3803103839870311E-4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8.4159059394934739E-3</v>
          </cell>
          <cell r="I171">
            <v>8.4715345705054599E-3</v>
          </cell>
          <cell r="J171">
            <v>5.0402822753791831E-3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8.4159059394934739E-3</v>
          </cell>
          <cell r="I172">
            <v>8.4715345705054599E-3</v>
          </cell>
          <cell r="J172">
            <v>5.0402822753791831E-3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1.4041443959032001E-7</v>
          </cell>
          <cell r="I173">
            <v>1.3937668377716099E-7</v>
          </cell>
          <cell r="J173">
            <v>2.52611431002925E-6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6.1776230674490346E-4</v>
          </cell>
          <cell r="I174">
            <v>6.1794462999663032E-4</v>
          </cell>
          <cell r="J174">
            <v>3.5930111030420432E-4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8.4982138359497394</v>
          </cell>
          <cell r="I175">
            <v>4.1283727423925694</v>
          </cell>
          <cell r="J175">
            <v>0.9066923480963911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591.51715772643297</v>
          </cell>
          <cell r="I176">
            <v>286.73153899757801</v>
          </cell>
          <cell r="J176">
            <v>62.701276274924801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10.487892867489942</v>
          </cell>
          <cell r="I177">
            <v>5.0838925354180544</v>
          </cell>
          <cell r="J177">
            <v>1.1117247566476034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0.22802086834341401</v>
          </cell>
          <cell r="I178">
            <v>4.2546449291169602E-2</v>
          </cell>
          <cell r="J178">
            <v>2.5450905307441001E-5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0.56518437896117291</v>
          </cell>
          <cell r="I179">
            <v>0.27127255507964032</v>
          </cell>
          <cell r="J179">
            <v>7.3197950636087403E-2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3.3564654410012907E-5</v>
          </cell>
          <cell r="I180">
            <v>4.3123600190926832E-5</v>
          </cell>
          <cell r="J180">
            <v>1.4516301007717279E-4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3.3564654410012907E-5</v>
          </cell>
          <cell r="I181">
            <v>4.3123600190926832E-5</v>
          </cell>
          <cell r="J181">
            <v>1.4516301007717279E-4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2.7941520907217302E-4</v>
          </cell>
          <cell r="I182">
            <v>6.3808436875743301E-5</v>
          </cell>
          <cell r="J182">
            <v>9.0331955094321095E-5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1.3181859501181742E-3</v>
          </cell>
          <cell r="I183">
            <v>3.5312414143915169E-4</v>
          </cell>
          <cell r="J183">
            <v>2.5419657320161848E-4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0.34680282838147469</v>
          </cell>
          <cell r="I184">
            <v>0.36732488575488331</v>
          </cell>
          <cell r="J184">
            <v>0.29623070378977728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0.34680282838147469</v>
          </cell>
          <cell r="I185">
            <v>0.36732488575488331</v>
          </cell>
          <cell r="J185">
            <v>0.29623070378977728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0.47219929625700463</v>
          </cell>
          <cell r="I186">
            <v>0.49821674281575234</v>
          </cell>
          <cell r="J186">
            <v>0.39670816640993173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9.3720587081360905E-3</v>
          </cell>
          <cell r="I187">
            <v>1.7050843697159E-2</v>
          </cell>
          <cell r="J187">
            <v>4.6471830995435401E-3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2.4582148252682498E-2</v>
          </cell>
          <cell r="I188">
            <v>2.6422903803963605E-2</v>
          </cell>
          <cell r="J188">
            <v>2.0985506905450056E-2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1.1534727990709403E-3</v>
          </cell>
          <cell r="I189">
            <v>1.1771263227641254E-3</v>
          </cell>
          <cell r="J189">
            <v>7.5848168196885203E-4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1.1534727990709403E-3</v>
          </cell>
          <cell r="I190">
            <v>1.1771263227641254E-3</v>
          </cell>
          <cell r="J190">
            <v>7.5848168196885203E-4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1.28907708678088E-7</v>
          </cell>
          <cell r="I191">
            <v>1.08630383028709E-7</v>
          </cell>
          <cell r="J191">
            <v>8.8389249894530795E-7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9.3729467045528401E-5</v>
          </cell>
          <cell r="I192">
            <v>9.3817429932610726E-5</v>
          </cell>
          <cell r="J192">
            <v>5.5314347301802971E-5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4.6226091474450761E-4</v>
          </cell>
          <cell r="I193">
            <v>4.7017504262589791E-4</v>
          </cell>
          <cell r="J193">
            <v>3.1701331954155998E-4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4.6226091474450761E-4</v>
          </cell>
          <cell r="I194">
            <v>4.7017504262589791E-4</v>
          </cell>
          <cell r="J194">
            <v>3.1701331954155998E-4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1.08183688778176E-7</v>
          </cell>
          <cell r="I195">
            <v>8.3924111947703405E-8</v>
          </cell>
          <cell r="J195">
            <v>3.3164166189143798E-7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3.8452195193322535E-5</v>
          </cell>
          <cell r="I196">
            <v>3.8507320271386366E-5</v>
          </cell>
          <cell r="J196">
            <v>2.2751920655360473E-5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1.1703860677039108E-4</v>
          </cell>
          <cell r="I197">
            <v>1.1245216705791089E-4</v>
          </cell>
          <cell r="J197">
            <v>8.0879049659706803E-5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1.1703860677039108E-4</v>
          </cell>
          <cell r="I198">
            <v>1.1245216705791089E-4</v>
          </cell>
          <cell r="J198">
            <v>8.0879049659706803E-5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6.2410183058345697E-8</v>
          </cell>
          <cell r="I199">
            <v>4.67144003609428E-8</v>
          </cell>
          <cell r="J199">
            <v>7.7123375137360506E-8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6.1946109795773928E-6</v>
          </cell>
          <cell r="I200">
            <v>6.2217387558145816E-6</v>
          </cell>
          <cell r="J200">
            <v>3.7924871572288454E-6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25.57913305462742</v>
          </cell>
          <cell r="I201">
            <v>27.626885412446914</v>
          </cell>
          <cell r="J201">
            <v>27.096842494776102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7.7005813474854348</v>
          </cell>
          <cell r="I202">
            <v>7.8435284036826696</v>
          </cell>
          <cell r="J202">
            <v>6.8216041885664076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25.57913305462742</v>
          </cell>
          <cell r="I203">
            <v>27.626885412446914</v>
          </cell>
          <cell r="J203">
            <v>27.096842494776102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0.74203416410498102</v>
          </cell>
          <cell r="I204">
            <v>1.13809287366836</v>
          </cell>
          <cell r="J204">
            <v>1.0492775863089201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2.0665382663780472</v>
          </cell>
          <cell r="I205">
            <v>2.2319717615177663</v>
          </cell>
          <cell r="J205">
            <v>2.1891059990191999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9.8368983653173938</v>
          </cell>
          <cell r="I206">
            <v>12.620725328861027</v>
          </cell>
          <cell r="J206">
            <v>15.546147061020926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4.3514815445146935</v>
          </cell>
          <cell r="I207">
            <v>5.2305736270092336</v>
          </cell>
          <cell r="J207">
            <v>5.7231296306996526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0.34743192945527901</v>
          </cell>
          <cell r="I208">
            <v>0.382466996459355</v>
          </cell>
          <cell r="J208">
            <v>0.63804610724867505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0.67238061710153885</v>
          </cell>
          <cell r="I209">
            <v>0.86264643613233549</v>
          </cell>
          <cell r="J209">
            <v>1.0625767358286475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7.7106312796327856</v>
          </cell>
          <cell r="I210">
            <v>7.2186024851477777</v>
          </cell>
          <cell r="J210">
            <v>9.232137064534534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1.1791388569759706E-2</v>
          </cell>
          <cell r="I211">
            <v>1.5760400137030752E-2</v>
          </cell>
          <cell r="J211">
            <v>5.266181599901696E-3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7.7224226682025483</v>
          </cell>
          <cell r="I212">
            <v>7.2343628852848099</v>
          </cell>
          <cell r="J212">
            <v>9.2374032461344342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6.3314142839619809E-5</v>
          </cell>
          <cell r="I213">
            <v>5.5648930919627056E-5</v>
          </cell>
          <cell r="J213">
            <v>3.9166747503636704E-5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6.3314142839619809E-5</v>
          </cell>
          <cell r="I214">
            <v>5.5648930919627056E-5</v>
          </cell>
          <cell r="J214">
            <v>3.9166747503636704E-5</v>
          </cell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H215">
            <v>1.1996042075181E-8</v>
          </cell>
          <cell r="I215">
            <v>1.1354025722791801E-8</v>
          </cell>
          <cell r="J215">
            <v>1.6192730620147699E-8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H216">
            <v>-2.4913281470915305E-8</v>
          </cell>
          <cell r="I216">
            <v>-2.4820766438596101E-8</v>
          </cell>
          <cell r="J216">
            <v>2.6513267354002296E-8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H217">
            <v>11.536065532594449</v>
          </cell>
          <cell r="I217">
            <v>15.731063987904248</v>
          </cell>
          <cell r="J217">
            <v>18.718038566242228</v>
          </cell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H218">
            <v>11.536065532594449</v>
          </cell>
          <cell r="I218">
            <v>15.731063987904248</v>
          </cell>
          <cell r="J218">
            <v>18.718038566242228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H219">
            <v>3.4329801156056376</v>
          </cell>
          <cell r="I219">
            <v>4.4224283045067994</v>
          </cell>
          <cell r="J219">
            <v>4.8622752640205036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H220">
            <v>0.578999250531128</v>
          </cell>
          <cell r="I220">
            <v>0.49968561921297899</v>
          </cell>
          <cell r="J220">
            <v>0.84444585144446105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H221">
            <v>0.8918495185563764</v>
          </cell>
          <cell r="I221">
            <v>1.2160853590942668</v>
          </cell>
          <cell r="J221">
            <v>1.4519975688652551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H222">
            <v>0.15812295178746516</v>
          </cell>
          <cell r="I222"/>
          <cell r="J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H223">
            <v>5.7535760870310645E-3</v>
          </cell>
          <cell r="I223"/>
          <cell r="J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H224">
            <v>0.16384275531872286</v>
          </cell>
          <cell r="I224"/>
          <cell r="J224"/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H225">
            <v>3.80047988232714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H226">
            <v>9.5586941873069691</v>
          </cell>
          <cell r="I226">
            <v>5.5288462906160021</v>
          </cell>
          <cell r="J226">
            <v>2.4831246956969721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H227">
            <v>1.1287145631106114E-2</v>
          </cell>
          <cell r="I227">
            <v>1.150925003015198E-2</v>
          </cell>
          <cell r="J227">
            <v>9.6341396836208282E-3</v>
          </cell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H228">
            <v>1.1881205927480133E-2</v>
          </cell>
          <cell r="I228">
            <v>1.2115000031738937E-2</v>
          </cell>
          <cell r="J228">
            <v>1.0141199666969296E-2</v>
          </cell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H229">
            <v>2.08571103121304E-3</v>
          </cell>
          <cell r="I229"/>
          <cell r="J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H230">
            <v>4.7960510466491845E-3</v>
          </cell>
          <cell r="I230">
            <v>2.085286919672677E-3</v>
          </cell>
          <cell r="J230">
            <v>8.8146135807262965E-4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H231">
            <v>3.8004798823275601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H232">
            <v>9.5586941873040132</v>
          </cell>
          <cell r="I232">
            <v>5.5288462906129894</v>
          </cell>
          <cell r="J232">
            <v>2.4831246956929931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H233">
            <v>1.5229898965611513E-3</v>
          </cell>
          <cell r="I233">
            <v>5.646834666660961E-2</v>
          </cell>
          <cell r="J233">
            <v>5.778977759147692E-3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H234">
            <v>1.7431584874575438E-3</v>
          </cell>
          <cell r="I234">
            <v>6.6359242206476515E-2</v>
          </cell>
          <cell r="J234">
            <v>6.366949212156226E-3</v>
          </cell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H235">
            <v>7.0967348888722003E-5</v>
          </cell>
          <cell r="I235">
            <v>4.0168372732769998E-2</v>
          </cell>
          <cell r="J235">
            <v>2.18175463999145E-7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H236">
            <v>2.29570266651184E-4</v>
          </cell>
          <cell r="I236">
            <v>4.0310816174400597E-2</v>
          </cell>
          <cell r="J236">
            <v>2.91817716761711E-2</v>
          </cell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H239"/>
          <cell r="I239"/>
          <cell r="J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H240">
            <v>4.3577470089806701E-4</v>
          </cell>
          <cell r="I240">
            <v>1.12691581627746E-4</v>
          </cell>
          <cell r="J240">
            <v>3.9329179626639E-8</v>
          </cell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H241">
            <v>8.2837680824002008E-4</v>
          </cell>
          <cell r="I241">
            <v>2.5296619697570688E-4</v>
          </cell>
          <cell r="J241"/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H242">
            <v>0.33207151968871829</v>
          </cell>
          <cell r="I242">
            <v>0.29684715840557774</v>
          </cell>
          <cell r="J242">
            <v>0.2581557640683107</v>
          </cell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H243">
            <v>0.33240359120840712</v>
          </cell>
          <cell r="I243">
            <v>0.2971440055639834</v>
          </cell>
          <cell r="J243">
            <v>0.25841391983237899</v>
          </cell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H244">
            <v>0.33207116878250598</v>
          </cell>
          <cell r="I244">
            <v>0.29684781869803267</v>
          </cell>
          <cell r="J244">
            <v>0.25815544953385738</v>
          </cell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H245">
            <v>1.52305997411989E-2</v>
          </cell>
          <cell r="I245">
            <v>2.08392296989834E-2</v>
          </cell>
          <cell r="J245">
            <v>9.9019205322752098E-3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H246">
            <v>3.0717593453646636E-2</v>
          </cell>
          <cell r="I246">
            <v>3.6041119355087227E-2</v>
          </cell>
          <cell r="J246">
            <v>3.1356331101103987E-2</v>
          </cell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H247">
            <v>4.5719647178084628</v>
          </cell>
          <cell r="I247">
            <v>2.4470942958389053</v>
          </cell>
          <cell r="J247">
            <v>0.18787776594917818</v>
          </cell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H248">
            <v>428.20665859041998</v>
          </cell>
          <cell r="I248">
            <v>228.280752595433</v>
          </cell>
          <cell r="J248">
            <v>17.388040877267599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H249">
            <v>5.8101310527872414</v>
          </cell>
          <cell r="I249">
            <v>3.0974321926110302</v>
          </cell>
          <cell r="J249">
            <v>0.23592999833470277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H250">
            <v>0.180184253297723</v>
          </cell>
          <cell r="I250">
            <v>6.8349862734377301E-4</v>
          </cell>
          <cell r="J250">
            <v>1.2141963069743801E-5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H251">
            <v>0.27835205456689133</v>
          </cell>
          <cell r="I251">
            <v>0.18083910182747026</v>
          </cell>
          <cell r="J251">
            <v>1.4812083810402506E-2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H252"/>
          <cell r="I252"/>
          <cell r="J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H253"/>
          <cell r="I253"/>
          <cell r="J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H254"/>
          <cell r="I254"/>
          <cell r="J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H255">
            <v>3.80047988232714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H256">
            <v>9.5586941873069691</v>
          </cell>
          <cell r="I256">
            <v>5.5288462906160021</v>
          </cell>
          <cell r="J256">
            <v>2.4831246956969721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H257">
            <v>20.931592642568486</v>
          </cell>
          <cell r="I257">
            <v>18.040700975422116</v>
          </cell>
          <cell r="J257">
            <v>21.782955394228786</v>
          </cell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H258">
            <v>20.931592642568486</v>
          </cell>
          <cell r="I258">
            <v>18.040700975422116</v>
          </cell>
          <cell r="J258">
            <v>21.782955394228786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H259">
            <v>3.8004798823275601</v>
          </cell>
          <cell r="I259"/>
          <cell r="J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H260">
            <v>9.5586941873040132</v>
          </cell>
          <cell r="I260">
            <v>5.5288462906129894</v>
          </cell>
          <cell r="J260">
            <v>2.4831246956929931</v>
          </cell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H261">
            <v>34.493708720861903</v>
          </cell>
          <cell r="I261">
            <v>31.568394171306121</v>
          </cell>
          <cell r="J261">
            <v>25.964299587023699</v>
          </cell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H262">
            <v>34.493708720861903</v>
          </cell>
          <cell r="I262">
            <v>31.568394171306121</v>
          </cell>
          <cell r="J262">
            <v>25.964299587023699</v>
          </cell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H263">
            <v>4.1420604380506902E-6</v>
          </cell>
          <cell r="I263">
            <v>4.1254908018997401E-6</v>
          </cell>
          <cell r="J263">
            <v>2.4480082354765802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H264">
            <v>3.64596792458785</v>
          </cell>
          <cell r="I264">
            <v>3.3367641147540512</v>
          </cell>
          <cell r="J264">
            <v>2.7444091245667019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H265">
            <v>1.5081643750800323E-3</v>
          </cell>
          <cell r="I265">
            <v>0.15755292045589533</v>
          </cell>
          <cell r="J265">
            <v>0.29455262901475626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H266">
            <v>1.2358135599129861E-3</v>
          </cell>
          <cell r="I266">
            <v>2.3671063572919048E-2</v>
          </cell>
          <cell r="J266">
            <v>2.6923117105176142E-2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H267">
            <v>2.7103877795210717E-3</v>
          </cell>
          <cell r="I267">
            <v>0.18122398402881434</v>
          </cell>
          <cell r="J267">
            <v>0.32147574611993196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H268">
            <v>3.80047988232714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H269">
            <v>9.5586941873069691</v>
          </cell>
          <cell r="I269">
            <v>5.5288462906160021</v>
          </cell>
          <cell r="J269">
            <v>2.4831246956969721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H270">
            <v>2.2904268037643601E-3</v>
          </cell>
          <cell r="I270">
            <v>0.10511807477193047</v>
          </cell>
          <cell r="J270">
            <v>0.10076228343760896</v>
          </cell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H271">
            <v>1.919497930233576</v>
          </cell>
          <cell r="I271">
            <v>7.1756778502622689</v>
          </cell>
          <cell r="J271">
            <v>7.6784044901560256</v>
          </cell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H272">
            <v>1.9217883570373406</v>
          </cell>
          <cell r="I272">
            <v>7.2807959250342069</v>
          </cell>
          <cell r="J272">
            <v>7.7791667735936318</v>
          </cell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H273">
            <v>0.24398507719441401</v>
          </cell>
          <cell r="I273">
            <v>0.32544728656998845</v>
          </cell>
          <cell r="J273">
            <v>0.39767455041049515</v>
          </cell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H274">
            <v>0.24374133585855542</v>
          </cell>
          <cell r="I274">
            <v>0.32512216440558311</v>
          </cell>
          <cell r="J274">
            <v>0.39727727313735722</v>
          </cell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H275">
            <v>0.2437506836365769</v>
          </cell>
          <cell r="I275">
            <v>0.32513766528898935</v>
          </cell>
          <cell r="J275">
            <v>0.39728922688740964</v>
          </cell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H276">
            <v>8.5154890547575798E-3</v>
          </cell>
          <cell r="I276">
            <v>2.2984105907192898E-2</v>
          </cell>
          <cell r="J276">
            <v>2.84014264517174E-2</v>
          </cell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H277">
            <v>3.4744115759723401E-2</v>
          </cell>
          <cell r="I277">
            <v>4.0635076279205651E-2</v>
          </cell>
          <cell r="J277">
            <v>4.8561213106100426E-2</v>
          </cell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H278">
            <v>8.3448122646052489</v>
          </cell>
          <cell r="I278">
            <v>9.2806551069160488</v>
          </cell>
          <cell r="J278">
            <v>9.0519105223856542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H279">
            <v>9.0540097370428754</v>
          </cell>
          <cell r="I279">
            <v>10.062786429042005</v>
          </cell>
          <cell r="J279">
            <v>9.8019143793016177</v>
          </cell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H280">
            <v>2.98211009115516E-7</v>
          </cell>
          <cell r="I280">
            <v>4.1405702641475598E-7</v>
          </cell>
          <cell r="J280">
            <v>3.9727581327280398E-7</v>
          </cell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H281">
            <v>0.84970092867485003</v>
          </cell>
          <cell r="I281">
            <v>0.84970134273187703</v>
          </cell>
          <cell r="J281">
            <v>0.84970174000769005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H282">
            <v>2.2986708300171559</v>
          </cell>
          <cell r="I282">
            <v>2.2986738510808067</v>
          </cell>
          <cell r="J282">
            <v>2.808891116993113</v>
          </cell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H283">
            <v>3.2330110126823568</v>
          </cell>
          <cell r="I283">
            <v>3.2330152617170298</v>
          </cell>
          <cell r="J283">
            <v>3.9012376624904341</v>
          </cell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H284">
            <v>2.5970600327722301E-2</v>
          </cell>
          <cell r="I284">
            <v>0.11554691738968199</v>
          </cell>
          <cell r="J284">
            <v>0.10488087779561001</v>
          </cell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H285">
            <v>0.13420876649433386</v>
          </cell>
          <cell r="I285">
            <v>0.16831946028912825</v>
          </cell>
          <cell r="J285">
            <v>0.19966526474930008</v>
          </cell>
        </row>
        <row r="286">
          <cell r="A286" t="str">
            <v>RHNS-SHPLTBR</v>
          </cell>
          <cell r="B286" t="str">
            <v>VAR_fout</v>
          </cell>
          <cell r="C286" t="str">
            <v>RHNS-SHPLT</v>
          </cell>
          <cell r="H286">
            <v>6.1712606872094608E-3</v>
          </cell>
          <cell r="I286">
            <v>6.5718886098793698E-3</v>
          </cell>
          <cell r="J286">
            <v>9.5765579762991659E-3</v>
          </cell>
        </row>
        <row r="287">
          <cell r="A287" t="str">
            <v>RHNS-SHPLTBR</v>
          </cell>
          <cell r="B287" t="str">
            <v>VAR_fin</v>
          </cell>
          <cell r="C287" t="str">
            <v>RPLT</v>
          </cell>
          <cell r="H287">
            <v>8.0802854238620769E-3</v>
          </cell>
          <cell r="I287">
            <v>8.582378708115632E-3</v>
          </cell>
          <cell r="J287">
            <v>1.238544839558306E-2</v>
          </cell>
        </row>
        <row r="288">
          <cell r="A288" t="str">
            <v>RHNS-SHPLTBR</v>
          </cell>
          <cell r="B288" t="str">
            <v>VAR_ncap</v>
          </cell>
          <cell r="C288" t="str">
            <v>-</v>
          </cell>
          <cell r="H288">
            <v>3.4046839888115898E-6</v>
          </cell>
          <cell r="I288">
            <v>2.0983377704160999E-4</v>
          </cell>
          <cell r="J288">
            <v>5.7249373590004704E-4</v>
          </cell>
        </row>
        <row r="289">
          <cell r="A289" t="str">
            <v>RHNS-SHPLTBR</v>
          </cell>
          <cell r="B289" t="str">
            <v>VAR_cap</v>
          </cell>
          <cell r="C289" t="str">
            <v>-</v>
          </cell>
          <cell r="H289">
            <v>5.7095030046759587E-4</v>
          </cell>
          <cell r="I289">
            <v>5.3215182717242075E-4</v>
          </cell>
          <cell r="J289">
            <v>7.2595280474107356E-4</v>
          </cell>
        </row>
        <row r="290">
          <cell r="A290" t="str">
            <v>D-RHNM_KEV_WOD_ELC_CHP</v>
          </cell>
          <cell r="B290" t="str">
            <v>VAR_fout</v>
          </cell>
          <cell r="C290" t="str">
            <v>ELC5</v>
          </cell>
          <cell r="H290">
            <v>2.9614113097684151E-3</v>
          </cell>
          <cell r="I290">
            <v>4.8515749050942227E-3</v>
          </cell>
          <cell r="J290">
            <v>2.0740492297827988E-3</v>
          </cell>
        </row>
        <row r="291">
          <cell r="A291" t="str">
            <v>D-RHNM_KEV_WOD_ELC_CHP</v>
          </cell>
          <cell r="B291" t="str">
            <v>VAR_fout</v>
          </cell>
          <cell r="C291" t="str">
            <v>RHNM_ELC</v>
          </cell>
          <cell r="H291">
            <v>0.16993306933834695</v>
          </cell>
          <cell r="I291">
            <v>0.36769021458817203</v>
          </cell>
          <cell r="J291">
            <v>0.14667064579348932</v>
          </cell>
        </row>
        <row r="292">
          <cell r="A292" t="str">
            <v>D-RHNM_KEV_WOD_ELC_CHP</v>
          </cell>
          <cell r="B292" t="str">
            <v>VAR_fin</v>
          </cell>
          <cell r="C292" t="str">
            <v>RHNM_KEV_WOD_ELC_CHP</v>
          </cell>
          <cell r="H292">
            <v>0.17287005282785825</v>
          </cell>
          <cell r="I292">
            <v>0.372517575847847</v>
          </cell>
          <cell r="J292">
            <v>0.14872512689095679</v>
          </cell>
        </row>
        <row r="293">
          <cell r="A293" t="str">
            <v>SCOM-SHLTHCHPNGA</v>
          </cell>
          <cell r="B293" t="str">
            <v>VAR_fout</v>
          </cell>
          <cell r="C293" t="str">
            <v>SCOM-SHLTHC-NGA</v>
          </cell>
          <cell r="H293"/>
          <cell r="I293"/>
          <cell r="J293"/>
        </row>
        <row r="294">
          <cell r="A294" t="str">
            <v>SCOM-SHLTHCHPNGA</v>
          </cell>
          <cell r="B294" t="str">
            <v>VAR_fin</v>
          </cell>
          <cell r="C294" t="str">
            <v>SCOMLTHCHPC</v>
          </cell>
          <cell r="H294"/>
          <cell r="I294"/>
          <cell r="J294"/>
        </row>
        <row r="295">
          <cell r="A295" t="str">
            <v>SCOM-SHLTHCHPNGA</v>
          </cell>
          <cell r="B295" t="str">
            <v>VAR_fin</v>
          </cell>
          <cell r="C295" t="str">
            <v>SCOM_LTH_CHPNGA_ON</v>
          </cell>
          <cell r="H295"/>
          <cell r="I295"/>
          <cell r="J295"/>
        </row>
        <row r="296">
          <cell r="A296" t="str">
            <v>SCOM-SHLTHCHPNGA</v>
          </cell>
          <cell r="B296" t="str">
            <v>VAR_ncap</v>
          </cell>
          <cell r="C296" t="str">
            <v>-</v>
          </cell>
          <cell r="H296">
            <v>4.9375111716383404E-4</v>
          </cell>
          <cell r="I296">
            <v>2.5814385346403199E-4</v>
          </cell>
          <cell r="J296">
            <v>8.0415750545800604E-7</v>
          </cell>
        </row>
        <row r="297">
          <cell r="A297" t="str">
            <v>SCOM-SHLTHCHPNGA</v>
          </cell>
          <cell r="B297" t="str">
            <v>VAR_cap</v>
          </cell>
          <cell r="C297" t="str">
            <v>-</v>
          </cell>
          <cell r="H297">
            <v>7.3458575288060102E-4</v>
          </cell>
          <cell r="I297">
            <v>3.9255353171472013E-4</v>
          </cell>
          <cell r="J297">
            <v>1.3489202801619999E-6</v>
          </cell>
        </row>
        <row r="298">
          <cell r="A298" t="str">
            <v>ITOT-PROCESSCO2</v>
          </cell>
          <cell r="B298" t="str">
            <v>VAR_fout</v>
          </cell>
          <cell r="C298" t="str">
            <v>CO2</v>
          </cell>
          <cell r="H298">
            <v>2085.5361510819598</v>
          </cell>
          <cell r="I298">
            <v>2077.4343541498902</v>
          </cell>
          <cell r="J298">
            <v>2063.75096964368</v>
          </cell>
        </row>
        <row r="299">
          <cell r="A299" t="str">
            <v>ITOT-PROCESSCO2</v>
          </cell>
          <cell r="B299" t="str">
            <v>VAR_fout</v>
          </cell>
          <cell r="C299" t="str">
            <v>CO2P</v>
          </cell>
          <cell r="H299">
            <v>2085.5361510819607</v>
          </cell>
          <cell r="I299">
            <v>2077.4343541498906</v>
          </cell>
          <cell r="J299">
            <v>2063.7509696436791</v>
          </cell>
        </row>
        <row r="300">
          <cell r="A300" t="str">
            <v>RHNM-SHWODBR</v>
          </cell>
          <cell r="B300" t="str">
            <v>VAR_fout</v>
          </cell>
          <cell r="C300" t="str">
            <v>RHNM-SHWOD</v>
          </cell>
          <cell r="H300">
            <v>9.2344477456319712E-2</v>
          </cell>
          <cell r="I300">
            <v>9.680614565838222E-2</v>
          </cell>
          <cell r="J300">
            <v>8.0065508383651993E-2</v>
          </cell>
        </row>
        <row r="301">
          <cell r="A301" t="str">
            <v>RHNM-SHWODBR</v>
          </cell>
          <cell r="B301" t="str">
            <v>VAR_fin</v>
          </cell>
          <cell r="C301" t="str">
            <v>RHNMWODBRC</v>
          </cell>
          <cell r="H301">
            <v>9.2344477456319712E-2</v>
          </cell>
          <cell r="I301">
            <v>9.680614565838222E-2</v>
          </cell>
          <cell r="J301">
            <v>8.0065508383651993E-2</v>
          </cell>
        </row>
        <row r="302">
          <cell r="A302" t="str">
            <v>RHNM-SHWODBR</v>
          </cell>
          <cell r="B302" t="str">
            <v>VAR_fin</v>
          </cell>
          <cell r="C302" t="str">
            <v>RWOD</v>
          </cell>
          <cell r="H302">
            <v>0.122943455846193</v>
          </cell>
          <cell r="I302">
            <v>0.12822421719626823</v>
          </cell>
          <cell r="J302">
            <v>0.10605046887357493</v>
          </cell>
        </row>
        <row r="303">
          <cell r="A303" t="str">
            <v>RHNM-SHWODBR</v>
          </cell>
          <cell r="B303" t="str">
            <v>VAR_ncap</v>
          </cell>
          <cell r="C303" t="str">
            <v>-</v>
          </cell>
          <cell r="H303">
            <v>1.47971730481246E-2</v>
          </cell>
          <cell r="I303"/>
          <cell r="J303"/>
        </row>
        <row r="304">
          <cell r="A304" t="str">
            <v>RHNM-SHWODBR</v>
          </cell>
          <cell r="B304" t="str">
            <v>VAR_cap</v>
          </cell>
          <cell r="C304" t="str">
            <v>-</v>
          </cell>
          <cell r="H304">
            <v>1.6784867599393911E-2</v>
          </cell>
          <cell r="I304">
            <v>1.4859853072123449E-2</v>
          </cell>
          <cell r="J304">
            <v>6.2589799885411851E-3</v>
          </cell>
        </row>
        <row r="305">
          <cell r="A305" t="str">
            <v>RHNS-SHDEM</v>
          </cell>
          <cell r="B305" t="str">
            <v>VAR_fout</v>
          </cell>
          <cell r="C305" t="str">
            <v>RHNS-SHD</v>
          </cell>
          <cell r="H305">
            <v>3.3439385990215591</v>
          </cell>
          <cell r="I305">
            <v>3.8361105480107995</v>
          </cell>
          <cell r="J305">
            <v>4.3920100057238116</v>
          </cell>
        </row>
        <row r="306">
          <cell r="A306" t="str">
            <v>RHNS-SHDEM</v>
          </cell>
          <cell r="B306" t="str">
            <v>VAR_fin</v>
          </cell>
          <cell r="C306" t="str">
            <v>RHNS-SHLTHC-WOD</v>
          </cell>
          <cell r="H306">
            <v>1.8442098808971012E-4</v>
          </cell>
          <cell r="I306">
            <v>3.5919274979727932E-5</v>
          </cell>
          <cell r="J306">
            <v>3.5803255048152781E-4</v>
          </cell>
        </row>
        <row r="307">
          <cell r="A307" t="str">
            <v>RHNS-SHDEM</v>
          </cell>
          <cell r="B307" t="str">
            <v>VAR_fin</v>
          </cell>
          <cell r="C307" t="str">
            <v>RHNS-SHLFO</v>
          </cell>
          <cell r="H307">
            <v>5.3286489645518201E-2</v>
          </cell>
          <cell r="I307">
            <v>4.806801385067129E-2</v>
          </cell>
          <cell r="J307"/>
        </row>
        <row r="308">
          <cell r="A308" t="str">
            <v>RHNS-SHDEM</v>
          </cell>
          <cell r="B308" t="str">
            <v>VAR_fin</v>
          </cell>
          <cell r="C308" t="str">
            <v>RHNS-SHNGAH</v>
          </cell>
          <cell r="H308">
            <v>0.74905512261926077</v>
          </cell>
          <cell r="I308">
            <v>0.9004501252656496</v>
          </cell>
          <cell r="J308">
            <v>1.0517078646446179</v>
          </cell>
        </row>
        <row r="309">
          <cell r="A309" t="str">
            <v>RHNS-SHDEM</v>
          </cell>
          <cell r="B309" t="str">
            <v>VAR_fin</v>
          </cell>
          <cell r="C309" t="str">
            <v>RHNS-SHCON</v>
          </cell>
          <cell r="H309">
            <v>3.4659691245121594E-3</v>
          </cell>
          <cell r="I309">
            <v>9.9585103884142143E-3</v>
          </cell>
          <cell r="J309">
            <v>9.9464416202338594E-3</v>
          </cell>
        </row>
        <row r="310">
          <cell r="A310" t="str">
            <v>RHNS-SHDEM</v>
          </cell>
          <cell r="B310" t="str">
            <v>VAR_fin</v>
          </cell>
          <cell r="C310" t="str">
            <v>RHNS-SHWOD</v>
          </cell>
          <cell r="H310">
            <v>7.9545611421720966E-2</v>
          </cell>
          <cell r="I310">
            <v>8.0852291910767329E-2</v>
          </cell>
          <cell r="J310">
            <v>8.212124697711283E-2</v>
          </cell>
        </row>
        <row r="311">
          <cell r="A311" t="str">
            <v>RHNS-SHDEM</v>
          </cell>
          <cell r="B311" t="str">
            <v>VAR_fin</v>
          </cell>
          <cell r="C311" t="str">
            <v>RHNS-SHNST</v>
          </cell>
          <cell r="H311">
            <v>2.9177898469197707E-4</v>
          </cell>
          <cell r="I311">
            <v>3.4080640719534789E-4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RHNS-SHPLT</v>
          </cell>
          <cell r="H312">
            <v>6.2929332855595037E-3</v>
          </cell>
          <cell r="I312">
            <v>6.6966851169665007E-3</v>
          </cell>
          <cell r="J312">
            <v>9.6366108070606599E-3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RHNS-SHLTHD</v>
          </cell>
          <cell r="H313">
            <v>0.15648337678988583</v>
          </cell>
          <cell r="I313">
            <v>0.16644523051362323</v>
          </cell>
          <cell r="J313">
            <v>0.19024836817672164</v>
          </cell>
        </row>
        <row r="314">
          <cell r="A314" t="str">
            <v>RHNS-SHDEM</v>
          </cell>
          <cell r="B314" t="str">
            <v>VAR_fin</v>
          </cell>
          <cell r="C314" t="str">
            <v>RHNS-SHELCB</v>
          </cell>
          <cell r="H314">
            <v>1.1192927593486718E-2</v>
          </cell>
          <cell r="I314">
            <v>1.150742799289004E-2</v>
          </cell>
          <cell r="J314">
            <v>9.6748299705594568E-3</v>
          </cell>
        </row>
        <row r="315">
          <cell r="A315" t="str">
            <v>RHNS-SHDEM</v>
          </cell>
          <cell r="B315" t="str">
            <v>VAR_fin</v>
          </cell>
          <cell r="C315" t="str">
            <v>RHNS-SHELCH</v>
          </cell>
          <cell r="H315">
            <v>2.1954933060876023</v>
          </cell>
          <cell r="I315">
            <v>2.5322899101385876</v>
          </cell>
          <cell r="J315">
            <v>3.0016241248476021</v>
          </cell>
        </row>
        <row r="316">
          <cell r="A316" t="str">
            <v>RHNS-SHDEM</v>
          </cell>
          <cell r="B316" t="str">
            <v>VAR_fin</v>
          </cell>
          <cell r="C316" t="str">
            <v>RHNS-SHSOL</v>
          </cell>
          <cell r="H316">
            <v>1.0099808672601163E-3</v>
          </cell>
          <cell r="I316">
            <v>1.1092437955725601E-3</v>
          </cell>
          <cell r="J316">
            <v>1.0528626355308551E-3</v>
          </cell>
        </row>
        <row r="317">
          <cell r="A317" t="str">
            <v>RHNS-SHDEM</v>
          </cell>
          <cell r="B317" t="str">
            <v>VAR_fin</v>
          </cell>
          <cell r="C317" t="str">
            <v>RHNS-SHLTHC-NGA</v>
          </cell>
          <cell r="H317">
            <v>8.9466873236362763E-5</v>
          </cell>
          <cell r="I317">
            <v>2.1049622976374526E-4</v>
          </cell>
          <cell r="J317">
            <v>5.7801194486521713E-5</v>
          </cell>
          <cell r="L317"/>
          <cell r="M317"/>
          <cell r="N317"/>
        </row>
        <row r="318">
          <cell r="A318" t="str">
            <v>RHNS-SHDEM</v>
          </cell>
          <cell r="B318" t="str">
            <v>VAR_fin</v>
          </cell>
          <cell r="C318" t="str">
            <v>RHNS-SHNGA</v>
          </cell>
          <cell r="H318">
            <v>8.8043576144837807E-2</v>
          </cell>
          <cell r="I318">
            <v>7.8533171366220386E-2</v>
          </cell>
          <cell r="J318">
            <v>3.5897891938497552E-2</v>
          </cell>
        </row>
        <row r="319">
          <cell r="A319" t="str">
            <v>RES-ELCSPEC</v>
          </cell>
          <cell r="B319" t="str">
            <v>VAR_fout</v>
          </cell>
          <cell r="C319" t="str">
            <v>RHSA-ELS</v>
          </cell>
          <cell r="H319">
            <v>37.398606978106464</v>
          </cell>
          <cell r="I319">
            <v>32.654750341813482</v>
          </cell>
          <cell r="J319">
            <v>22.596104715377802</v>
          </cell>
        </row>
        <row r="320">
          <cell r="A320" t="str">
            <v>RES-ELCSPEC</v>
          </cell>
          <cell r="B320" t="str">
            <v>VAR_fin</v>
          </cell>
          <cell r="C320" t="str">
            <v>RHSA_ELC</v>
          </cell>
          <cell r="H320">
            <v>37.398606978106464</v>
          </cell>
          <cell r="I320">
            <v>32.654750341813482</v>
          </cell>
          <cell r="J320">
            <v>22.596104715377802</v>
          </cell>
        </row>
        <row r="321">
          <cell r="A321" t="str">
            <v>RES-ELCSPEC</v>
          </cell>
          <cell r="B321" t="str">
            <v>VAR_ncap</v>
          </cell>
          <cell r="C321" t="str">
            <v>-</v>
          </cell>
          <cell r="H321">
            <v>5.3397483077244299E-6</v>
          </cell>
          <cell r="I321">
            <v>3.09037807799307E-6</v>
          </cell>
          <cell r="J321">
            <v>1.91468373406081</v>
          </cell>
        </row>
        <row r="322">
          <cell r="A322" t="str">
            <v>RES-ELCSPEC</v>
          </cell>
          <cell r="B322" t="str">
            <v>VAR_cap</v>
          </cell>
          <cell r="C322" t="str">
            <v>-</v>
          </cell>
          <cell r="H322">
            <v>3.9530293605920561</v>
          </cell>
          <cell r="I322">
            <v>3.451617964365004</v>
          </cell>
          <cell r="J322">
            <v>2.3883941802491764</v>
          </cell>
        </row>
        <row r="323">
          <cell r="A323" t="str">
            <v>SCOM-SHCONBR1</v>
          </cell>
          <cell r="B323" t="str">
            <v>VAR_fout</v>
          </cell>
          <cell r="C323" t="str">
            <v>SCOM-SHCON</v>
          </cell>
          <cell r="H323">
            <v>1.9718244427401599</v>
          </cell>
          <cell r="I323">
            <v>2.6177961438288571</v>
          </cell>
          <cell r="J323">
            <v>2.6178050879527435</v>
          </cell>
        </row>
        <row r="324">
          <cell r="A324" t="str">
            <v>SCOM-SHCONBR1</v>
          </cell>
          <cell r="B324" t="str">
            <v>VAR_fin</v>
          </cell>
          <cell r="C324" t="str">
            <v>CON</v>
          </cell>
          <cell r="H324">
            <v>1.9718244427401599</v>
          </cell>
          <cell r="I324">
            <v>2.6177961438288571</v>
          </cell>
          <cell r="J324">
            <v>2.6178050879527435</v>
          </cell>
        </row>
        <row r="325">
          <cell r="A325" t="str">
            <v>SCOM-SHCONBR1</v>
          </cell>
          <cell r="B325" t="str">
            <v>VAR_ncap</v>
          </cell>
          <cell r="C325" t="str">
            <v>-</v>
          </cell>
          <cell r="H325">
            <v>8.2648812572766796E-7</v>
          </cell>
          <cell r="I325">
            <v>1.95085929586905E-2</v>
          </cell>
          <cell r="J325">
            <v>8.5195717758357395E-2</v>
          </cell>
        </row>
        <row r="326">
          <cell r="A326" t="str">
            <v>SCOM-SHCONBR1</v>
          </cell>
          <cell r="B326" t="str">
            <v>VAR_cap</v>
          </cell>
          <cell r="C326" t="str">
            <v>-</v>
          </cell>
          <cell r="H326">
            <v>0.20230751082975282</v>
          </cell>
          <cell r="I326">
            <v>0.22181679892468958</v>
          </cell>
          <cell r="J326">
            <v>0.2216595688674336</v>
          </cell>
        </row>
        <row r="327">
          <cell r="A327" t="str">
            <v>RHSA-WHSTG-SOL</v>
          </cell>
          <cell r="B327" t="str">
            <v>VAR_fout</v>
          </cell>
          <cell r="C327" t="str">
            <v>RHSA-WHASOL</v>
          </cell>
          <cell r="H327">
            <v>0.38327505377256427</v>
          </cell>
          <cell r="I327">
            <v>0.43652843483846182</v>
          </cell>
          <cell r="J327">
            <v>0.43072352338754538</v>
          </cell>
        </row>
        <row r="328">
          <cell r="A328" t="str">
            <v>RHSA-WHSTG-SOL</v>
          </cell>
          <cell r="B328" t="str">
            <v>VAR_fout</v>
          </cell>
          <cell r="C328" t="str">
            <v>AUX_RHSA-WHSTG-SOL_OUT</v>
          </cell>
          <cell r="H328">
            <v>0.38365832882633627</v>
          </cell>
          <cell r="I328">
            <v>0.43696496327330009</v>
          </cell>
          <cell r="J328">
            <v>0.43115424691093285</v>
          </cell>
        </row>
        <row r="329">
          <cell r="A329" t="str">
            <v>RHSA-WHSTG-SOL</v>
          </cell>
          <cell r="B329" t="str">
            <v>VAR_fin</v>
          </cell>
          <cell r="C329" t="str">
            <v>RHSA-WHASOL</v>
          </cell>
          <cell r="H329">
            <v>0.38327727710703308</v>
          </cell>
          <cell r="I329">
            <v>0.43652606362833213</v>
          </cell>
          <cell r="J329">
            <v>0.43072116929075477</v>
          </cell>
        </row>
        <row r="330">
          <cell r="A330" t="str">
            <v>RHSA-WHSTG-SOL</v>
          </cell>
          <cell r="B330" t="str">
            <v>VAR_ncap</v>
          </cell>
          <cell r="C330" t="str">
            <v>-</v>
          </cell>
          <cell r="H330">
            <v>3.8189057103288397E-2</v>
          </cell>
          <cell r="I330">
            <v>2.8070115362158501E-2</v>
          </cell>
          <cell r="J330">
            <v>2.8725216396305101E-2</v>
          </cell>
        </row>
        <row r="331">
          <cell r="A331" t="str">
            <v>RHSA-WHSTG-SOL</v>
          </cell>
          <cell r="B331" t="str">
            <v>VAR_cap</v>
          </cell>
          <cell r="C331" t="str">
            <v>-</v>
          </cell>
          <cell r="H331">
            <v>5.8495651580827271E-2</v>
          </cell>
          <cell r="I331">
            <v>6.6260621404178099E-2</v>
          </cell>
          <cell r="J331">
            <v>6.5250407028220894E-2</v>
          </cell>
        </row>
        <row r="332">
          <cell r="A332" t="str">
            <v>SCOM-SHCONBR2</v>
          </cell>
          <cell r="B332" t="str">
            <v>VAR_fout</v>
          </cell>
          <cell r="C332" t="str">
            <v>SCOM-SHCON</v>
          </cell>
          <cell r="H332">
            <v>3.2449362431211615</v>
          </cell>
          <cell r="I332">
            <v>4.0772694526119153</v>
          </cell>
          <cell r="J332">
            <v>4.0772806630652934</v>
          </cell>
        </row>
        <row r="333">
          <cell r="A333" t="str">
            <v>SCOM-SHCONBR2</v>
          </cell>
          <cell r="B333" t="str">
            <v>VAR_fin</v>
          </cell>
          <cell r="C333" t="str">
            <v>CON</v>
          </cell>
          <cell r="H333">
            <v>3.2449362431211615</v>
          </cell>
          <cell r="I333">
            <v>4.0772694526119153</v>
          </cell>
          <cell r="J333">
            <v>4.0772806630652934</v>
          </cell>
        </row>
        <row r="334">
          <cell r="A334" t="str">
            <v>SCOM-SHCONBR2</v>
          </cell>
          <cell r="B334" t="str">
            <v>VAR_ncap</v>
          </cell>
          <cell r="C334" t="str">
            <v>-</v>
          </cell>
          <cell r="H334">
            <v>7.9840767381759902E-7</v>
          </cell>
          <cell r="I334">
            <v>1.6756186957763101E-2</v>
          </cell>
          <cell r="J334">
            <v>0.13103850429248801</v>
          </cell>
        </row>
        <row r="335">
          <cell r="A335" t="str">
            <v>SCOM-SHCONBR2</v>
          </cell>
          <cell r="B335" t="str">
            <v>VAR_cap</v>
          </cell>
          <cell r="C335" t="str">
            <v>-</v>
          </cell>
          <cell r="H335">
            <v>0.31508025497451264</v>
          </cell>
          <cell r="I335">
            <v>0.33183716152835968</v>
          </cell>
          <cell r="J335">
            <v>0.32994404976846647</v>
          </cell>
        </row>
        <row r="336">
          <cell r="A336" t="str">
            <v>SCOM-SHCONBR3</v>
          </cell>
          <cell r="B336" t="str">
            <v>VAR_fout</v>
          </cell>
          <cell r="C336" t="str">
            <v>SCOM-SHCON</v>
          </cell>
          <cell r="H336">
            <v>1.7723583883672462</v>
          </cell>
          <cell r="I336">
            <v>2.5101802838278688</v>
          </cell>
          <cell r="J336">
            <v>3.2762411611861109</v>
          </cell>
        </row>
        <row r="337">
          <cell r="A337" t="str">
            <v>SCOM-SHCONBR3</v>
          </cell>
          <cell r="B337" t="str">
            <v>VAR_fin</v>
          </cell>
          <cell r="C337" t="str">
            <v>CON</v>
          </cell>
          <cell r="H337">
            <v>1.7723583883672462</v>
          </cell>
          <cell r="I337">
            <v>2.5101802838278688</v>
          </cell>
          <cell r="J337">
            <v>3.2762411611861109</v>
          </cell>
        </row>
        <row r="338">
          <cell r="A338" t="str">
            <v>SCOM-SHCONBR3</v>
          </cell>
          <cell r="B338" t="str">
            <v>VAR_ncap</v>
          </cell>
          <cell r="C338" t="str">
            <v>-</v>
          </cell>
          <cell r="H338">
            <v>4.8646540669798903E-7</v>
          </cell>
          <cell r="I338">
            <v>7.8703114825992293E-3</v>
          </cell>
          <cell r="J338">
            <v>0.13770206366937701</v>
          </cell>
        </row>
        <row r="339">
          <cell r="A339" t="str">
            <v>SCOM-SHCONBR3</v>
          </cell>
          <cell r="B339" t="str">
            <v>VAR_cap</v>
          </cell>
          <cell r="C339" t="str">
            <v>-</v>
          </cell>
          <cell r="H339">
            <v>0.18617413177677186</v>
          </cell>
          <cell r="I339">
            <v>0.19404525903651815</v>
          </cell>
          <cell r="J339">
            <v>0.25320082145946926</v>
          </cell>
        </row>
        <row r="340">
          <cell r="A340" t="str">
            <v>SCOM-SHCONBR4</v>
          </cell>
          <cell r="B340" t="str">
            <v>VAR_fout</v>
          </cell>
          <cell r="C340" t="str">
            <v>SCOM-SHCON</v>
          </cell>
          <cell r="H340">
            <v>2.8205679809351434E-3</v>
          </cell>
          <cell r="I340">
            <v>5.1246800894621646E-3</v>
          </cell>
          <cell r="J340">
            <v>3.2708389840974363</v>
          </cell>
        </row>
        <row r="341">
          <cell r="A341" t="str">
            <v>SCOM-SHCONBR4</v>
          </cell>
          <cell r="B341" t="str">
            <v>VAR_fin</v>
          </cell>
          <cell r="C341" t="str">
            <v>CON</v>
          </cell>
          <cell r="H341">
            <v>2.8205679809351434E-3</v>
          </cell>
          <cell r="I341">
            <v>5.1246800894621646E-3</v>
          </cell>
          <cell r="J341">
            <v>3.2708389840974363</v>
          </cell>
        </row>
        <row r="342">
          <cell r="A342" t="str">
            <v>SCOM-SHCONBR4</v>
          </cell>
          <cell r="B342" t="str">
            <v>VAR_ncap</v>
          </cell>
          <cell r="C342" t="str">
            <v>-</v>
          </cell>
          <cell r="H342">
            <v>4.4208245476723901E-7</v>
          </cell>
          <cell r="I342">
            <v>7.8419347225099407E-6</v>
          </cell>
          <cell r="J342">
            <v>0.252506856320246</v>
          </cell>
        </row>
        <row r="343">
          <cell r="A343" t="str">
            <v>SCOM-SHCONBR4</v>
          </cell>
          <cell r="B343" t="str">
            <v>VAR_cap</v>
          </cell>
          <cell r="C343" t="str">
            <v>-</v>
          </cell>
          <cell r="H343">
            <v>4.2425908226819043E-4</v>
          </cell>
          <cell r="I343">
            <v>4.3268040492170626E-4</v>
          </cell>
          <cell r="J343">
            <v>0.25276081167202347</v>
          </cell>
        </row>
        <row r="344">
          <cell r="A344" t="str">
            <v>RHEM-SHNGABR</v>
          </cell>
          <cell r="B344" t="str">
            <v>VAR_fout</v>
          </cell>
          <cell r="C344" t="str">
            <v>CO2_R</v>
          </cell>
          <cell r="H344">
            <v>573.09983950853996</v>
          </cell>
          <cell r="I344">
            <v>235.99461203761101</v>
          </cell>
          <cell r="J344">
            <v>89.594432109683495</v>
          </cell>
        </row>
        <row r="345">
          <cell r="A345" t="str">
            <v>RHEM-SHNGABR</v>
          </cell>
          <cell r="B345" t="str">
            <v>VAR_fout</v>
          </cell>
          <cell r="C345" t="str">
            <v>RHEM-SHNGA</v>
          </cell>
          <cell r="H345">
            <v>9.5840887022675396</v>
          </cell>
          <cell r="I345">
            <v>3.9465955826567161</v>
          </cell>
          <cell r="J345">
            <v>1.498309588264501</v>
          </cell>
        </row>
        <row r="346">
          <cell r="A346" t="str">
            <v>RHEM-SHNGABR</v>
          </cell>
          <cell r="B346" t="str">
            <v>VAR_fin</v>
          </cell>
          <cell r="C346" t="str">
            <v>RNGA</v>
          </cell>
          <cell r="H346">
            <v>10.161344672137249</v>
          </cell>
          <cell r="I346">
            <v>4.1843016318725406</v>
          </cell>
          <cell r="J346">
            <v>1.5885537608099909</v>
          </cell>
        </row>
        <row r="347">
          <cell r="A347" t="str">
            <v>RHEM-SHNGABR</v>
          </cell>
          <cell r="B347" t="str">
            <v>VAR_ncap</v>
          </cell>
          <cell r="C347" t="str">
            <v>-</v>
          </cell>
          <cell r="H347">
            <v>0.18660911107355699</v>
          </cell>
          <cell r="I347">
            <v>6.9635746210478106E-2</v>
          </cell>
          <cell r="J347">
            <v>6.1796148810860795E-7</v>
          </cell>
        </row>
        <row r="348">
          <cell r="A348" t="str">
            <v>RHEM-SHNGABR</v>
          </cell>
          <cell r="B348" t="str">
            <v>VAR_cap</v>
          </cell>
          <cell r="C348" t="str">
            <v>-</v>
          </cell>
          <cell r="H348">
            <v>0.67771881060843719</v>
          </cell>
          <cell r="I348">
            <v>0.2813708410368938</v>
          </cell>
          <cell r="J348">
            <v>0.12945275291653324</v>
          </cell>
        </row>
        <row r="349">
          <cell r="A349" t="str">
            <v>RHNS-SHCONBR1</v>
          </cell>
          <cell r="B349" t="str">
            <v>VAR_ncap</v>
          </cell>
          <cell r="C349" t="str">
            <v>-</v>
          </cell>
          <cell r="H349">
            <v>3.8004798823275601</v>
          </cell>
          <cell r="I349"/>
          <cell r="J349"/>
        </row>
        <row r="350">
          <cell r="A350" t="str">
            <v>RHNS-SHCONBR1</v>
          </cell>
          <cell r="B350" t="str">
            <v>VAR_cap</v>
          </cell>
          <cell r="C350" t="str">
            <v>-</v>
          </cell>
          <cell r="H350">
            <v>9.5586941873040132</v>
          </cell>
          <cell r="I350">
            <v>5.5288462906129894</v>
          </cell>
          <cell r="J350">
            <v>2.4831246956929931</v>
          </cell>
        </row>
        <row r="351">
          <cell r="A351" t="str">
            <v>SCOM-SHCONBR5</v>
          </cell>
          <cell r="B351" t="str">
            <v>VAR_fout</v>
          </cell>
          <cell r="C351" t="str">
            <v>SCOM-SHCON</v>
          </cell>
          <cell r="H351">
            <v>2.0222438819537621E-3</v>
          </cell>
          <cell r="I351">
            <v>3.5508930220649881E-3</v>
          </cell>
          <cell r="J351">
            <v>0.71938461928420949</v>
          </cell>
        </row>
        <row r="352">
          <cell r="A352" t="str">
            <v>SCOM-SHCONBR5</v>
          </cell>
          <cell r="B352" t="str">
            <v>VAR_fin</v>
          </cell>
          <cell r="C352" t="str">
            <v>CON</v>
          </cell>
          <cell r="H352">
            <v>2.0222438819537621E-3</v>
          </cell>
          <cell r="I352">
            <v>3.5508930220649881E-3</v>
          </cell>
          <cell r="J352">
            <v>0.71938461928420949</v>
          </cell>
        </row>
        <row r="353">
          <cell r="A353" t="str">
            <v>SCOM-SHCONBR5</v>
          </cell>
          <cell r="B353" t="str">
            <v>VAR_ncap</v>
          </cell>
          <cell r="C353" t="str">
            <v>-</v>
          </cell>
          <cell r="H353">
            <v>3.74615045856736E-7</v>
          </cell>
          <cell r="I353">
            <v>8.3885783494482604E-7</v>
          </cell>
          <cell r="J353">
            <v>5.5429514771680399E-2</v>
          </cell>
        </row>
        <row r="354">
          <cell r="A354" t="str">
            <v>SCOM-SHCONBR5</v>
          </cell>
          <cell r="B354" t="str">
            <v>VAR_cap</v>
          </cell>
          <cell r="C354" t="str">
            <v>-</v>
          </cell>
          <cell r="H354">
            <v>3.0554046377268804E-4</v>
          </cell>
          <cell r="I354">
            <v>3.0688028058155516E-4</v>
          </cell>
          <cell r="J354">
            <v>5.5607739802903969E-2</v>
          </cell>
        </row>
        <row r="355">
          <cell r="A355" t="str">
            <v>RHNS-SHCONBR2</v>
          </cell>
          <cell r="B355" t="str">
            <v>VAR_ncap</v>
          </cell>
          <cell r="C355" t="str">
            <v>-</v>
          </cell>
          <cell r="H355">
            <v>3.80047988232714</v>
          </cell>
          <cell r="I355"/>
          <cell r="J355"/>
        </row>
        <row r="356">
          <cell r="A356" t="str">
            <v>RHNS-SHCONBR2</v>
          </cell>
          <cell r="B356" t="str">
            <v>VAR_cap</v>
          </cell>
          <cell r="C356" t="str">
            <v>-</v>
          </cell>
          <cell r="H356">
            <v>9.5586941873069691</v>
          </cell>
          <cell r="I356">
            <v>5.5288462906160021</v>
          </cell>
          <cell r="J356">
            <v>2.4831246956969721</v>
          </cell>
        </row>
        <row r="357">
          <cell r="A357" t="str">
            <v>RHES-SHSTG-ELCHP</v>
          </cell>
          <cell r="B357" t="str">
            <v>VAR_fout</v>
          </cell>
          <cell r="C357" t="str">
            <v>RHES-SHAELCH</v>
          </cell>
          <cell r="H357">
            <v>3.8295540405181536</v>
          </cell>
          <cell r="I357">
            <v>3.7112340612783727</v>
          </cell>
          <cell r="J357">
            <v>3.652138451623264</v>
          </cell>
        </row>
        <row r="358">
          <cell r="A358" t="str">
            <v>RHES-SHSTG-ELCHP</v>
          </cell>
          <cell r="B358" t="str">
            <v>VAR_fout</v>
          </cell>
          <cell r="C358" t="str">
            <v>AUX_RHES-SHSTG-ELCHP_OUT</v>
          </cell>
          <cell r="H358">
            <v>3.8333835945586703</v>
          </cell>
          <cell r="I358">
            <v>3.7149452953396516</v>
          </cell>
          <cell r="J358">
            <v>3.6557905900748868</v>
          </cell>
        </row>
        <row r="359">
          <cell r="A359" t="str">
            <v>RHES-SHSTG-ELCHP</v>
          </cell>
          <cell r="B359" t="str">
            <v>VAR_fin</v>
          </cell>
          <cell r="C359" t="str">
            <v>RHES-SHAELCH</v>
          </cell>
          <cell r="H359">
            <v>3.8295674556228434</v>
          </cell>
          <cell r="I359">
            <v>3.7112470052457307</v>
          </cell>
          <cell r="J359">
            <v>3.6521527783844716</v>
          </cell>
        </row>
        <row r="360">
          <cell r="A360" t="str">
            <v>RHES-SHSTG-ELCHP</v>
          </cell>
          <cell r="B360" t="str">
            <v>VAR_ncap</v>
          </cell>
          <cell r="C360" t="str">
            <v>-</v>
          </cell>
          <cell r="H360">
            <v>0.13172708036007999</v>
          </cell>
          <cell r="I360">
            <v>0.20015326911832701</v>
          </cell>
          <cell r="J360">
            <v>0.18541921726725699</v>
          </cell>
        </row>
        <row r="361">
          <cell r="A361" t="str">
            <v>RHES-SHSTG-ELCHP</v>
          </cell>
          <cell r="B361" t="str">
            <v>VAR_cap</v>
          </cell>
          <cell r="C361" t="str">
            <v>-</v>
          </cell>
          <cell r="H361">
            <v>0.36467666581720931</v>
          </cell>
          <cell r="I361">
            <v>0.39387584317830338</v>
          </cell>
          <cell r="J361">
            <v>0.38631244144011789</v>
          </cell>
        </row>
        <row r="362">
          <cell r="A362" t="str">
            <v>SCOM-SHCONBR6</v>
          </cell>
          <cell r="B362" t="str">
            <v>VAR_fout</v>
          </cell>
          <cell r="C362" t="str">
            <v>SCOM-SHCON</v>
          </cell>
          <cell r="H362">
            <v>1.1940078299831464E-3</v>
          </cell>
          <cell r="I362">
            <v>2.0218962879053242E-3</v>
          </cell>
          <cell r="J362">
            <v>1.3725495753736713E-3</v>
          </cell>
        </row>
        <row r="363">
          <cell r="A363" t="str">
            <v>SCOM-SHCONBR6</v>
          </cell>
          <cell r="B363" t="str">
            <v>VAR_fin</v>
          </cell>
          <cell r="C363" t="str">
            <v>CON</v>
          </cell>
          <cell r="H363">
            <v>1.1940078299831464E-3</v>
          </cell>
          <cell r="I363">
            <v>2.0218962879053242E-3</v>
          </cell>
          <cell r="J363">
            <v>1.3725495753736713E-3</v>
          </cell>
        </row>
        <row r="364">
          <cell r="A364" t="str">
            <v>SCOM-SHCONBR6</v>
          </cell>
          <cell r="B364" t="str">
            <v>VAR_ncap</v>
          </cell>
          <cell r="C364" t="str">
            <v>-</v>
          </cell>
          <cell r="H364">
            <v>3.2484158364969498E-7</v>
          </cell>
          <cell r="I364">
            <v>4.9617321389113799E-7</v>
          </cell>
          <cell r="J364">
            <v>1.19015691959965E-5</v>
          </cell>
        </row>
        <row r="365">
          <cell r="A365" t="str">
            <v>SCOM-SHCONBR6</v>
          </cell>
          <cell r="B365" t="str">
            <v>VAR_cap</v>
          </cell>
          <cell r="C365" t="str">
            <v>-</v>
          </cell>
          <cell r="H365">
            <v>1.8149773492445051E-4</v>
          </cell>
          <cell r="I365">
            <v>1.8233805393828286E-4</v>
          </cell>
          <cell r="J365">
            <v>1.1796912910875282E-4</v>
          </cell>
        </row>
        <row r="366">
          <cell r="A366" t="str">
            <v>RHNM-SHDEM</v>
          </cell>
          <cell r="B366" t="str">
            <v>VAR_fout</v>
          </cell>
          <cell r="C366" t="str">
            <v>RHNM-SHD</v>
          </cell>
          <cell r="H366">
            <v>3.4907304200143203</v>
          </cell>
          <cell r="I366">
            <v>3.9554685138684262</v>
          </cell>
          <cell r="J366">
            <v>4.4210921538821903</v>
          </cell>
        </row>
        <row r="367">
          <cell r="A367" t="str">
            <v>RHNM-SHDEM</v>
          </cell>
          <cell r="B367" t="str">
            <v>VAR_fin</v>
          </cell>
          <cell r="C367" t="str">
            <v>RHNM-SHLFO</v>
          </cell>
          <cell r="H367">
            <v>0.10292221416197532</v>
          </cell>
          <cell r="I367">
            <v>7.6274912064291447E-2</v>
          </cell>
          <cell r="J367">
            <v>3.6197619864220417E-5</v>
          </cell>
        </row>
        <row r="368">
          <cell r="A368" t="str">
            <v>RHNM-SHDEM</v>
          </cell>
          <cell r="B368" t="str">
            <v>VAR_fin</v>
          </cell>
          <cell r="C368" t="str">
            <v>RHNM-SHLTHD</v>
          </cell>
          <cell r="H368">
            <v>0.26564554819202618</v>
          </cell>
          <cell r="I368">
            <v>0.29731878158138891</v>
          </cell>
          <cell r="J368">
            <v>0.35346326043772081</v>
          </cell>
        </row>
        <row r="369">
          <cell r="A369" t="str">
            <v>RHNM-SHDEM</v>
          </cell>
          <cell r="B369" t="str">
            <v>VAR_fin</v>
          </cell>
          <cell r="C369" t="str">
            <v>RHNM-SHCON</v>
          </cell>
          <cell r="H369">
            <v>3.9079119212010105E-3</v>
          </cell>
          <cell r="I369">
            <v>8.2478165794658224E-3</v>
          </cell>
          <cell r="J369">
            <v>8.1579531961010997E-3</v>
          </cell>
        </row>
        <row r="370">
          <cell r="A370" t="str">
            <v>RHNM-SHDEM</v>
          </cell>
          <cell r="B370" t="str">
            <v>VAR_fin</v>
          </cell>
          <cell r="C370" t="str">
            <v>RHNM-SHELCB</v>
          </cell>
          <cell r="H370">
            <v>2.0859239943704934E-3</v>
          </cell>
          <cell r="I370">
            <v>2.3587004344326674E-3</v>
          </cell>
          <cell r="J370">
            <v>2.3306344348403619E-3</v>
          </cell>
        </row>
        <row r="371">
          <cell r="A371" t="str">
            <v>RHNM-SHDEM</v>
          </cell>
          <cell r="B371" t="str">
            <v>VAR_fin</v>
          </cell>
          <cell r="C371" t="str">
            <v>RHNM-SHWOD</v>
          </cell>
          <cell r="H371">
            <v>9.1703247749969616E-2</v>
          </cell>
          <cell r="I371">
            <v>9.6037304526404327E-2</v>
          </cell>
          <cell r="J371">
            <v>7.9408117417187493E-2</v>
          </cell>
        </row>
        <row r="372">
          <cell r="A372" t="str">
            <v>RHNM-SHDEM</v>
          </cell>
          <cell r="B372" t="str">
            <v>VAR_fin</v>
          </cell>
          <cell r="C372" t="str">
            <v>RHNM-SHELCH</v>
          </cell>
          <cell r="H372">
            <v>1.8992782420739522</v>
          </cell>
          <cell r="I372">
            <v>2.2174177205807415</v>
          </cell>
          <cell r="J372">
            <v>2.6564272387477685</v>
          </cell>
        </row>
        <row r="373">
          <cell r="A373" t="str">
            <v>RHNM-SHDEM</v>
          </cell>
          <cell r="B373" t="str">
            <v>VAR_fin</v>
          </cell>
          <cell r="C373" t="str">
            <v>RHNM-SHNST</v>
          </cell>
          <cell r="H373">
            <v>2.0417563397206719E-4</v>
          </cell>
          <cell r="I373">
            <v>6.4791739662380414E-4</v>
          </cell>
          <cell r="J373">
            <v>9.1414979289853178E-5</v>
          </cell>
        </row>
        <row r="374">
          <cell r="A374" t="str">
            <v>RHNM-SHDEM</v>
          </cell>
          <cell r="B374" t="str">
            <v>VAR_fin</v>
          </cell>
          <cell r="C374" t="str">
            <v>RHNM-SHPLT</v>
          </cell>
          <cell r="H374">
            <v>1.8131298268453746E-2</v>
          </cell>
          <cell r="I374">
            <v>1.9848250119168919E-2</v>
          </cell>
          <cell r="J374">
            <v>2.3691069102580731E-2</v>
          </cell>
        </row>
        <row r="375">
          <cell r="A375" t="str">
            <v>RHNM-SHDEM</v>
          </cell>
          <cell r="B375" t="str">
            <v>VAR_fin</v>
          </cell>
          <cell r="C375" t="str">
            <v>RHNM-SHLTHC-NGA</v>
          </cell>
          <cell r="H375">
            <v>2.5610508620212699E-5</v>
          </cell>
          <cell r="I375"/>
          <cell r="J375">
            <v>1.3428069708758868E-4</v>
          </cell>
        </row>
        <row r="376">
          <cell r="A376" t="str">
            <v>RHNM-SHDEM</v>
          </cell>
          <cell r="B376" t="str">
            <v>VAR_fin</v>
          </cell>
          <cell r="C376" t="str">
            <v>RHNM-SHSOL</v>
          </cell>
          <cell r="H376">
            <v>1.0268544458145201E-3</v>
          </cell>
          <cell r="I376">
            <v>1.1665080992060836E-3</v>
          </cell>
          <cell r="J376">
            <v>1.1358096827592343E-3</v>
          </cell>
        </row>
        <row r="377">
          <cell r="A377" t="str">
            <v>RHNM-SHDEM</v>
          </cell>
          <cell r="B377" t="str">
            <v>VAR_fin</v>
          </cell>
          <cell r="C377" t="str">
            <v>RHNM-SHLTHC-WOD</v>
          </cell>
          <cell r="H377">
            <v>3.9648632401260362E-4</v>
          </cell>
          <cell r="I377"/>
          <cell r="J377">
            <v>1.203801326523539E-4</v>
          </cell>
        </row>
        <row r="378">
          <cell r="A378" t="str">
            <v>RHNM-SHDEM</v>
          </cell>
          <cell r="B378" t="str">
            <v>VAR_fin</v>
          </cell>
          <cell r="C378" t="str">
            <v>RHNM-SHNGAH</v>
          </cell>
          <cell r="H378">
            <v>0.95686724153104941</v>
          </cell>
          <cell r="I378">
            <v>1.1470981658161172</v>
          </cell>
          <cell r="J378">
            <v>1.2961123518599318</v>
          </cell>
        </row>
        <row r="379">
          <cell r="A379" t="str">
            <v>RHNM-SHDEM</v>
          </cell>
          <cell r="B379" t="str">
            <v>VAR_fin</v>
          </cell>
          <cell r="C379" t="str">
            <v>RHNM-SHNGA</v>
          </cell>
          <cell r="H379">
            <v>0.14903922261828675</v>
          </cell>
          <cell r="I379">
            <v>8.9448959142864784E-2</v>
          </cell>
          <cell r="J379">
            <v>2.6986459045439212E-4</v>
          </cell>
        </row>
        <row r="380">
          <cell r="A380" t="str">
            <v>SCOM-STG-ELCSPEC</v>
          </cell>
          <cell r="B380" t="str">
            <v>VAR_fout</v>
          </cell>
          <cell r="C380" t="str">
            <v>SCOM-ELS</v>
          </cell>
          <cell r="H380">
            <v>4.4491598832391129E-2</v>
          </cell>
          <cell r="I380">
            <v>0.87933839497547239</v>
          </cell>
          <cell r="J380">
            <v>0.91311612220429583</v>
          </cell>
        </row>
        <row r="381">
          <cell r="A381" t="str">
            <v>SCOM-STG-ELCSPEC</v>
          </cell>
          <cell r="B381" t="str">
            <v>VAR_fin</v>
          </cell>
          <cell r="C381" t="str">
            <v>SCOM-ELS</v>
          </cell>
          <cell r="H381">
            <v>4.4495429238716744E-2</v>
          </cell>
          <cell r="I381">
            <v>0.879342362182024</v>
          </cell>
          <cell r="J381">
            <v>0.91311810580757147</v>
          </cell>
        </row>
        <row r="382">
          <cell r="A382" t="str">
            <v>SCOM-STG-ELCSPEC</v>
          </cell>
          <cell r="B382" t="str">
            <v>VAR_ncap</v>
          </cell>
          <cell r="C382" t="str">
            <v>-</v>
          </cell>
          <cell r="H382">
            <v>2.03668825515846E-4</v>
          </cell>
          <cell r="I382">
            <v>3.3187403391595802E-2</v>
          </cell>
          <cell r="J382">
            <v>2.8613933332511201E-3</v>
          </cell>
        </row>
        <row r="383">
          <cell r="A383" t="str">
            <v>SCOM-STG-ELCSPEC</v>
          </cell>
          <cell r="B383" t="str">
            <v>VAR_cap</v>
          </cell>
          <cell r="C383" t="str">
            <v>-</v>
          </cell>
          <cell r="H383">
            <v>1.6573815207679083E-3</v>
          </cell>
          <cell r="I383">
            <v>3.4190482133190557E-2</v>
          </cell>
          <cell r="J383">
            <v>3.6212755010895721E-2</v>
          </cell>
        </row>
        <row r="384">
          <cell r="A384" t="str">
            <v>RHNS-SHCONBR3</v>
          </cell>
          <cell r="B384" t="str">
            <v>VAR_ncap</v>
          </cell>
          <cell r="C384" t="str">
            <v>-</v>
          </cell>
          <cell r="H384">
            <v>3.8004798823275601</v>
          </cell>
          <cell r="I384"/>
          <cell r="J384"/>
        </row>
        <row r="385">
          <cell r="A385" t="str">
            <v>RHNS-SHCONBR3</v>
          </cell>
          <cell r="B385" t="str">
            <v>VAR_cap</v>
          </cell>
          <cell r="C385" t="str">
            <v>-</v>
          </cell>
          <cell r="H385">
            <v>9.5586941873040132</v>
          </cell>
          <cell r="I385">
            <v>5.5288462906129894</v>
          </cell>
          <cell r="J385">
            <v>2.4831246956929931</v>
          </cell>
        </row>
        <row r="386">
          <cell r="A386" t="str">
            <v>SCOM-SHCONBR7</v>
          </cell>
          <cell r="B386" t="str">
            <v>VAR_fout</v>
          </cell>
          <cell r="C386" t="str">
            <v>SCOM-SHCON</v>
          </cell>
          <cell r="H386">
            <v>6.973006619336871E-4</v>
          </cell>
          <cell r="I386">
            <v>1.1182759041135531E-3</v>
          </cell>
          <cell r="J386">
            <v>6.9164821727482867E-4</v>
          </cell>
        </row>
        <row r="387">
          <cell r="A387" t="str">
            <v>SCOM-SHCONBR7</v>
          </cell>
          <cell r="B387" t="str">
            <v>VAR_fin</v>
          </cell>
          <cell r="C387" t="str">
            <v>CON</v>
          </cell>
          <cell r="H387">
            <v>6.973006619336871E-4</v>
          </cell>
          <cell r="I387">
            <v>1.1182759041135531E-3</v>
          </cell>
          <cell r="J387">
            <v>6.9164821727482867E-4</v>
          </cell>
        </row>
        <row r="388">
          <cell r="A388" t="str">
            <v>SCOM-SHCONBR7</v>
          </cell>
          <cell r="B388" t="str">
            <v>VAR_ncap</v>
          </cell>
          <cell r="C388" t="str">
            <v>-</v>
          </cell>
          <cell r="H388">
            <v>2.21166027545008E-7</v>
          </cell>
          <cell r="I388"/>
          <cell r="J388">
            <v>5.9601061369960099E-7</v>
          </cell>
        </row>
        <row r="389">
          <cell r="A389" t="str">
            <v>SCOM-SHCONBR7</v>
          </cell>
          <cell r="B389" t="str">
            <v>VAR_cap</v>
          </cell>
          <cell r="C389" t="str">
            <v>-</v>
          </cell>
          <cell r="H389">
            <v>1.0579850738597394E-4</v>
          </cell>
          <cell r="I389">
            <v>1.0597854974818238E-4</v>
          </cell>
          <cell r="J389">
            <v>6.2192054190213789E-5</v>
          </cell>
        </row>
        <row r="390">
          <cell r="A390" t="str">
            <v>RHNS-SHCONBR4</v>
          </cell>
          <cell r="B390" t="str">
            <v>VAR_ncap</v>
          </cell>
          <cell r="C390" t="str">
            <v>-</v>
          </cell>
          <cell r="H390">
            <v>3.80047988232714</v>
          </cell>
          <cell r="I390"/>
          <cell r="J390"/>
        </row>
        <row r="391">
          <cell r="A391" t="str">
            <v>RHNS-SHCONBR4</v>
          </cell>
          <cell r="B391" t="str">
            <v>VAR_cap</v>
          </cell>
          <cell r="C391" t="str">
            <v>-</v>
          </cell>
          <cell r="H391">
            <v>9.5586941873069691</v>
          </cell>
          <cell r="I391">
            <v>5.5288462906160021</v>
          </cell>
          <cell r="J391">
            <v>2.4831246956969721</v>
          </cell>
        </row>
        <row r="392">
          <cell r="A392" t="str">
            <v>SCOM-SHCONBR8</v>
          </cell>
          <cell r="B392" t="str">
            <v>VAR_fout</v>
          </cell>
          <cell r="C392" t="str">
            <v>SCOM-SHCON</v>
          </cell>
          <cell r="H392">
            <v>2.4869285241653412E-4</v>
          </cell>
          <cell r="I392">
            <v>3.4307890325691541E-4</v>
          </cell>
          <cell r="J392">
            <v>2.1840538338935701E-4</v>
          </cell>
        </row>
        <row r="393">
          <cell r="A393" t="str">
            <v>SCOM-SHCONBR8</v>
          </cell>
          <cell r="B393" t="str">
            <v>VAR_fin</v>
          </cell>
          <cell r="C393" t="str">
            <v>CON</v>
          </cell>
          <cell r="H393">
            <v>2.4869285241653412E-4</v>
          </cell>
          <cell r="I393">
            <v>3.4307890325691541E-4</v>
          </cell>
          <cell r="J393">
            <v>2.1840538338935701E-4</v>
          </cell>
        </row>
        <row r="394">
          <cell r="A394" t="str">
            <v>SCOM-SHCONBR8</v>
          </cell>
          <cell r="B394" t="str">
            <v>VAR_ncap</v>
          </cell>
          <cell r="C394" t="str">
            <v>-</v>
          </cell>
          <cell r="H394">
            <v>8.9596391411302304E-8</v>
          </cell>
          <cell r="I394"/>
          <cell r="J394">
            <v>1.14240569117972E-7</v>
          </cell>
        </row>
        <row r="395">
          <cell r="A395" t="str">
            <v>SCOM-SHCONBR8</v>
          </cell>
          <cell r="B395" t="str">
            <v>VAR_cap</v>
          </cell>
          <cell r="C395" t="str">
            <v>-</v>
          </cell>
          <cell r="H395">
            <v>3.5879163986106934E-5</v>
          </cell>
          <cell r="I395">
            <v>3.5888743600166054E-5</v>
          </cell>
          <cell r="J395">
            <v>2.1013222325274513E-5</v>
          </cell>
        </row>
        <row r="396">
          <cell r="A396" t="str">
            <v>ITOT-ELCSPEC</v>
          </cell>
          <cell r="B396" t="str">
            <v>VAR_fout</v>
          </cell>
          <cell r="C396" t="str">
            <v>ITOT-ELS</v>
          </cell>
          <cell r="H396">
            <v>54.293347501227331</v>
          </cell>
          <cell r="I396">
            <v>51.052747867847657</v>
          </cell>
          <cell r="J396">
            <v>52.252420507471555</v>
          </cell>
        </row>
        <row r="397">
          <cell r="A397" t="str">
            <v>ITOT-ELCSPEC</v>
          </cell>
          <cell r="B397" t="str">
            <v>VAR_fin</v>
          </cell>
          <cell r="C397" t="str">
            <v>ITOT_ELC</v>
          </cell>
          <cell r="H397">
            <v>54.293347501227331</v>
          </cell>
          <cell r="I397">
            <v>51.052747867847657</v>
          </cell>
          <cell r="J397">
            <v>52.252420507471555</v>
          </cell>
        </row>
        <row r="398">
          <cell r="A398" t="str">
            <v>ITOT-ELCSPEC</v>
          </cell>
          <cell r="B398" t="str">
            <v>VAR_ncap</v>
          </cell>
          <cell r="C398" t="str">
            <v>-</v>
          </cell>
          <cell r="H398">
            <v>7.7238072253009202E-2</v>
          </cell>
          <cell r="I398">
            <v>5.37736065827237E-6</v>
          </cell>
          <cell r="J398">
            <v>2.43177252646481</v>
          </cell>
        </row>
        <row r="399">
          <cell r="A399" t="str">
            <v>ITOT-ELCSPEC</v>
          </cell>
          <cell r="B399" t="str">
            <v>VAR_cap</v>
          </cell>
          <cell r="C399" t="str">
            <v>-</v>
          </cell>
          <cell r="H399">
            <v>2.9526281362868527</v>
          </cell>
          <cell r="I399">
            <v>2.7764026225206631</v>
          </cell>
          <cell r="J399">
            <v>2.8416359728068548</v>
          </cell>
        </row>
        <row r="400">
          <cell r="A400" t="str">
            <v>RHNM-SHLTHDH</v>
          </cell>
          <cell r="B400" t="str">
            <v>VAR_fout</v>
          </cell>
          <cell r="C400" t="str">
            <v>RHNM-SHLTHD</v>
          </cell>
          <cell r="H400">
            <v>0.26653295965847718</v>
          </cell>
          <cell r="I400">
            <v>0.29807732838165063</v>
          </cell>
          <cell r="J400">
            <v>0.35474983021891837</v>
          </cell>
        </row>
        <row r="401">
          <cell r="A401" t="str">
            <v>RHNM-SHLTHDH</v>
          </cell>
          <cell r="B401" t="str">
            <v>VAR_fin</v>
          </cell>
          <cell r="C401" t="str">
            <v>RHNMLTHDHC</v>
          </cell>
          <cell r="H401">
            <v>0.26653295965847718</v>
          </cell>
          <cell r="I401">
            <v>0.29807732838165063</v>
          </cell>
          <cell r="J401">
            <v>0.35474983021891837</v>
          </cell>
        </row>
        <row r="402">
          <cell r="A402" t="str">
            <v>RHNM-SHLTHDH</v>
          </cell>
          <cell r="B402" t="str">
            <v>VAR_fin</v>
          </cell>
          <cell r="C402" t="str">
            <v>RHNM_LTH_DH</v>
          </cell>
          <cell r="H402">
            <v>0.29331866602235923</v>
          </cell>
          <cell r="I402">
            <v>0.3277511398904594</v>
          </cell>
          <cell r="J402">
            <v>0.39006542987170395</v>
          </cell>
        </row>
        <row r="403">
          <cell r="A403" t="str">
            <v>RHNM-SHLTHDH</v>
          </cell>
          <cell r="B403" t="str">
            <v>VAR_ncap</v>
          </cell>
          <cell r="C403" t="str">
            <v>-</v>
          </cell>
          <cell r="H403">
            <v>2.21380147021485E-2</v>
          </cell>
          <cell r="I403">
            <v>1.15579878562944E-2</v>
          </cell>
          <cell r="J403">
            <v>1.6158164165779601E-2</v>
          </cell>
        </row>
        <row r="404">
          <cell r="A404" t="str">
            <v>RHNM-SHLTHDH</v>
          </cell>
          <cell r="B404" t="str">
            <v>VAR_cap</v>
          </cell>
          <cell r="C404" t="str">
            <v>-</v>
          </cell>
          <cell r="H404">
            <v>3.7573470681386091E-2</v>
          </cell>
          <cell r="I404">
            <v>2.7375485410502193E-2</v>
          </cell>
          <cell r="J404">
            <v>2.9667703564795297E-2</v>
          </cell>
        </row>
        <row r="405">
          <cell r="A405" t="str">
            <v>RHNS-SHCONBR5</v>
          </cell>
          <cell r="B405" t="str">
            <v>VAR_ncap</v>
          </cell>
          <cell r="C405" t="str">
            <v>-</v>
          </cell>
          <cell r="H405">
            <v>3.8004798823275601</v>
          </cell>
          <cell r="I405"/>
          <cell r="J405"/>
        </row>
        <row r="406">
          <cell r="A406" t="str">
            <v>RHNS-SHCONBR5</v>
          </cell>
          <cell r="B406" t="str">
            <v>VAR_cap</v>
          </cell>
          <cell r="C406" t="str">
            <v>-</v>
          </cell>
          <cell r="H406">
            <v>9.5586941873040132</v>
          </cell>
          <cell r="I406">
            <v>5.5288462906129894</v>
          </cell>
          <cell r="J406">
            <v>2.4831246956929931</v>
          </cell>
        </row>
        <row r="407">
          <cell r="A407" t="str">
            <v>SCOM-SHCONBR9</v>
          </cell>
          <cell r="B407" t="str">
            <v>VAR_fout</v>
          </cell>
          <cell r="C407" t="str">
            <v>SCOM-SHCON</v>
          </cell>
          <cell r="H407">
            <v>9.1371229801943618E-5</v>
          </cell>
          <cell r="I407">
            <v>1.0518387593194307E-4</v>
          </cell>
          <cell r="J407">
            <v>7.0752261527874609E-5</v>
          </cell>
        </row>
        <row r="408">
          <cell r="A408" t="str">
            <v>SCOM-SHCONBR9</v>
          </cell>
          <cell r="B408" t="str">
            <v>VAR_fin</v>
          </cell>
          <cell r="C408" t="str">
            <v>CON</v>
          </cell>
          <cell r="H408">
            <v>9.1371229801943618E-5</v>
          </cell>
          <cell r="I408">
            <v>1.0518387593194307E-4</v>
          </cell>
          <cell r="J408">
            <v>7.0752261527874609E-5</v>
          </cell>
        </row>
        <row r="409">
          <cell r="A409" t="str">
            <v>SCOM-SHCONBR9</v>
          </cell>
          <cell r="B409" t="str">
            <v>VAR_ncap</v>
          </cell>
          <cell r="C409" t="str">
            <v>-</v>
          </cell>
          <cell r="H409">
            <v>3.9417117411402098E-8</v>
          </cell>
          <cell r="I409"/>
          <cell r="J409">
            <v>4.11867657769368E-8</v>
          </cell>
        </row>
        <row r="410">
          <cell r="A410" t="str">
            <v>SCOM-SHCONBR9</v>
          </cell>
          <cell r="B410" t="str">
            <v>VAR_cap</v>
          </cell>
          <cell r="C410" t="str">
            <v>-</v>
          </cell>
          <cell r="H410">
            <v>1.0680832160831804E-5</v>
          </cell>
          <cell r="I410">
            <v>1.066107310007771E-5</v>
          </cell>
          <cell r="J410">
            <v>6.2896828542592361E-6</v>
          </cell>
        </row>
        <row r="411">
          <cell r="A411" t="str">
            <v>ITOT-SWHCOABR</v>
          </cell>
          <cell r="B411" t="str">
            <v>VAR_fout</v>
          </cell>
          <cell r="C411" t="str">
            <v>ITOT-SWH</v>
          </cell>
          <cell r="H411">
            <v>4.1286847645579678E-3</v>
          </cell>
          <cell r="I411">
            <v>4.2982506866428845E-4</v>
          </cell>
          <cell r="J411">
            <v>2.8651161109113783E-6</v>
          </cell>
        </row>
        <row r="412">
          <cell r="A412" t="str">
            <v>ITOT-SWHCOABR</v>
          </cell>
          <cell r="B412" t="str">
            <v>VAR_fout</v>
          </cell>
          <cell r="C412" t="str">
            <v>CO2_I</v>
          </cell>
          <cell r="H412">
            <v>0.56911387014798998</v>
          </cell>
          <cell r="I412">
            <v>5.90293094298956E-2</v>
          </cell>
          <cell r="J412">
            <v>3.9058274041394798E-4</v>
          </cell>
        </row>
        <row r="413">
          <cell r="A413" t="str">
            <v>ITOT-SWHCOABR</v>
          </cell>
          <cell r="B413" t="str">
            <v>VAR_fin</v>
          </cell>
          <cell r="C413" t="str">
            <v>ICOA</v>
          </cell>
          <cell r="H413">
            <v>6.1393082000861937E-3</v>
          </cell>
          <cell r="I413">
            <v>6.3677787950264936E-4</v>
          </cell>
          <cell r="J413">
            <v>4.2134060454579094E-6</v>
          </cell>
        </row>
        <row r="414">
          <cell r="A414" t="str">
            <v>ITOT-SWHCOABR</v>
          </cell>
          <cell r="B414" t="str">
            <v>VAR_ncap</v>
          </cell>
          <cell r="C414" t="str">
            <v>-</v>
          </cell>
          <cell r="H414">
            <v>3.6314094433684198E-4</v>
          </cell>
          <cell r="I414">
            <v>8.4819850480451505E-6</v>
          </cell>
          <cell r="J414">
            <v>1.23571362069415E-6</v>
          </cell>
        </row>
        <row r="415">
          <cell r="A415" t="str">
            <v>ITOT-SWHCOABR</v>
          </cell>
          <cell r="B415" t="str">
            <v>VAR_cap</v>
          </cell>
          <cell r="C415" t="str">
            <v>-</v>
          </cell>
          <cell r="H415">
            <v>3.8362236345948486E-4</v>
          </cell>
          <cell r="I415">
            <v>4.074673722555299E-5</v>
          </cell>
          <cell r="J415">
            <v>4.673685333269912E-7</v>
          </cell>
        </row>
        <row r="416">
          <cell r="A416" t="str">
            <v>RHSA-WHDEM</v>
          </cell>
          <cell r="B416" t="str">
            <v>VAR_fout</v>
          </cell>
          <cell r="C416" t="str">
            <v>RHSA-WHD</v>
          </cell>
          <cell r="H416">
            <v>24.251728306167095</v>
          </cell>
          <cell r="I416">
            <v>27.032550116532185</v>
          </cell>
          <cell r="J416">
            <v>28.939604572407411</v>
          </cell>
        </row>
        <row r="417">
          <cell r="A417" t="str">
            <v>RHSA-WHDEM</v>
          </cell>
          <cell r="B417" t="str">
            <v>VAR_fin</v>
          </cell>
          <cell r="C417" t="str">
            <v>RHSA-WHNGA</v>
          </cell>
          <cell r="H417">
            <v>2.4115403959629576</v>
          </cell>
          <cell r="I417">
            <v>1.4646796275957996</v>
          </cell>
          <cell r="J417">
            <v>0.66871596147041434</v>
          </cell>
        </row>
        <row r="418">
          <cell r="A418" t="str">
            <v>RHSA-WHDEM</v>
          </cell>
          <cell r="B418" t="str">
            <v>VAR_fin</v>
          </cell>
          <cell r="C418" t="str">
            <v>RHSA-WHLFO</v>
          </cell>
          <cell r="H418">
            <v>1.5227393896022567</v>
          </cell>
          <cell r="I418">
            <v>0.85695089747539943</v>
          </cell>
          <cell r="J418">
            <v>0.13592469430920207</v>
          </cell>
        </row>
        <row r="419">
          <cell r="A419" t="str">
            <v>RHSA-WHDEM</v>
          </cell>
          <cell r="B419" t="str">
            <v>VAR_fin</v>
          </cell>
          <cell r="C419" t="str">
            <v>RHSA-WHWOD</v>
          </cell>
          <cell r="H419">
            <v>1.0872607846709039</v>
          </cell>
          <cell r="I419">
            <v>1.0219793084051823</v>
          </cell>
          <cell r="J419">
            <v>0.76417633963369513</v>
          </cell>
        </row>
        <row r="420">
          <cell r="A420" t="str">
            <v>RHSA-WHDEM</v>
          </cell>
          <cell r="B420" t="str">
            <v>VAR_fin</v>
          </cell>
          <cell r="C420" t="str">
            <v>RHSA-WHNGAH</v>
          </cell>
          <cell r="H420">
            <v>4.5662857094446583</v>
          </cell>
          <cell r="I420">
            <v>5.9749355818639849</v>
          </cell>
          <cell r="J420">
            <v>6.6747524987500899</v>
          </cell>
        </row>
        <row r="421">
          <cell r="A421" t="str">
            <v>RHSA-WHDEM</v>
          </cell>
          <cell r="B421" t="str">
            <v>VAR_fin</v>
          </cell>
          <cell r="C421" t="str">
            <v>RHSA-WHNST</v>
          </cell>
          <cell r="H421">
            <v>1.4113945656750321E-5</v>
          </cell>
          <cell r="I421">
            <v>1.4736821904324081E-5</v>
          </cell>
          <cell r="J421">
            <v>1.7895320185198895E-5</v>
          </cell>
        </row>
        <row r="422">
          <cell r="A422" t="str">
            <v>RHSA-WHDEM</v>
          </cell>
          <cell r="B422" t="str">
            <v>VAR_fin</v>
          </cell>
          <cell r="C422" t="str">
            <v>RHSA-WHPLT</v>
          </cell>
          <cell r="H422">
            <v>0.11653471450015272</v>
          </cell>
          <cell r="I422">
            <v>0.13406163641668342</v>
          </cell>
          <cell r="J422">
            <v>0.13761776883066598</v>
          </cell>
        </row>
        <row r="423">
          <cell r="A423" t="str">
            <v>RHSA-WHDEM</v>
          </cell>
          <cell r="B423" t="str">
            <v>VAR_fin</v>
          </cell>
          <cell r="C423" t="str">
            <v>RHSA-WHLTHRD</v>
          </cell>
          <cell r="H423">
            <v>1.7107090428059766</v>
          </cell>
          <cell r="I423">
            <v>2.0084218028828813</v>
          </cell>
          <cell r="J423">
            <v>2.2612395693959666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RHSA-WHELCB</v>
          </cell>
          <cell r="H424">
            <v>1.8610013204010625</v>
          </cell>
          <cell r="I424">
            <v>1.7035624634285615</v>
          </cell>
          <cell r="J424">
            <v>1.4830174618419969</v>
          </cell>
        </row>
        <row r="425">
          <cell r="A425" t="str">
            <v>RHSA-WHDEM</v>
          </cell>
          <cell r="B425" t="str">
            <v>VAR_fin</v>
          </cell>
          <cell r="C425" t="str">
            <v>RHSA-WHSOL</v>
          </cell>
          <cell r="H425">
            <v>1.1390263293433653</v>
          </cell>
          <cell r="I425">
            <v>1.2474550431070606</v>
          </cell>
          <cell r="J425">
            <v>1.2682269737593499</v>
          </cell>
        </row>
        <row r="426">
          <cell r="A426" t="str">
            <v>RHSA-WHDEM</v>
          </cell>
          <cell r="B426" t="str">
            <v>VAR_fin</v>
          </cell>
          <cell r="C426" t="str">
            <v>RHSA-WHELCH</v>
          </cell>
          <cell r="H426">
            <v>9.8369128190326549</v>
          </cell>
          <cell r="I426">
            <v>12.620731904277317</v>
          </cell>
          <cell r="J426">
            <v>15.54615704562705</v>
          </cell>
        </row>
        <row r="427">
          <cell r="A427" t="str">
            <v>RHSA-WHNGAHP</v>
          </cell>
          <cell r="B427" t="str">
            <v>VAR_fout</v>
          </cell>
          <cell r="C427" t="str">
            <v>RHSA-WHANGAH</v>
          </cell>
          <cell r="H427">
            <v>4.5662717405523416</v>
          </cell>
          <cell r="I427">
            <v>5.9749198988516632</v>
          </cell>
          <cell r="J427">
            <v>6.6747463313395627</v>
          </cell>
        </row>
        <row r="428">
          <cell r="A428" t="str">
            <v>RHSA-WHNGAHP</v>
          </cell>
          <cell r="B428" t="str">
            <v>VAR_fout</v>
          </cell>
          <cell r="C428" t="str">
            <v>CO2_R</v>
          </cell>
          <cell r="H428">
            <v>105.985722666868</v>
          </cell>
          <cell r="I428">
            <v>131.371491952003</v>
          </cell>
          <cell r="J428">
            <v>121.47828211059699</v>
          </cell>
        </row>
        <row r="429">
          <cell r="A429" t="str">
            <v>RHSA-WHNGAHP</v>
          </cell>
          <cell r="B429" t="str">
            <v>VAR_fin</v>
          </cell>
          <cell r="C429" t="str">
            <v>RNGA</v>
          </cell>
          <cell r="H429">
            <v>1.879179479908998</v>
          </cell>
          <cell r="I429">
            <v>2.3292817721986356</v>
          </cell>
          <cell r="J429">
            <v>2.1538702501878859</v>
          </cell>
        </row>
        <row r="430">
          <cell r="A430" t="str">
            <v>RHSA-WHNGAHP</v>
          </cell>
          <cell r="B430" t="str">
            <v>VAR_ncap</v>
          </cell>
          <cell r="C430" t="str">
            <v>-</v>
          </cell>
          <cell r="H430">
            <v>9.5619909701360195E-2</v>
          </cell>
          <cell r="I430">
            <v>0.201575769164862</v>
          </cell>
          <cell r="J430">
            <v>0.27443348248462002</v>
          </cell>
        </row>
        <row r="431">
          <cell r="A431" t="str">
            <v>RHSA-WHNGAHP</v>
          </cell>
          <cell r="B431" t="str">
            <v>VAR_cap</v>
          </cell>
          <cell r="C431" t="str">
            <v>-</v>
          </cell>
          <cell r="H431">
            <v>0.31213144297674295</v>
          </cell>
          <cell r="I431">
            <v>0.40844788767808426</v>
          </cell>
          <cell r="J431">
            <v>0.46117015478580792</v>
          </cell>
        </row>
        <row r="432">
          <cell r="A432" t="str">
            <v>SCOM-SHSTG-ELCHP</v>
          </cell>
          <cell r="B432" t="str">
            <v>VAR_fout</v>
          </cell>
          <cell r="C432" t="str">
            <v>SCOM-SHAELCH</v>
          </cell>
          <cell r="H432">
            <v>4.1955410881040462E-5</v>
          </cell>
          <cell r="I432">
            <v>4.0787854038672221E-5</v>
          </cell>
          <cell r="J432">
            <v>1.7696673463715603E-5</v>
          </cell>
        </row>
        <row r="433">
          <cell r="A433" t="str">
            <v>SCOM-SHSTG-ELCHP</v>
          </cell>
          <cell r="B433" t="str">
            <v>VAR_fin</v>
          </cell>
          <cell r="C433" t="str">
            <v>SCOM-SHAELCH</v>
          </cell>
          <cell r="H433">
            <v>4.2516118811412881E-5</v>
          </cell>
          <cell r="I433">
            <v>4.4522810343665289E-5</v>
          </cell>
          <cell r="J433">
            <v>1.8885821897472938E-5</v>
          </cell>
        </row>
        <row r="434">
          <cell r="A434" t="str">
            <v>SCOM-SHSTG-ELCHP</v>
          </cell>
          <cell r="B434" t="str">
            <v>VAR_ncap</v>
          </cell>
          <cell r="C434" t="str">
            <v>-</v>
          </cell>
          <cell r="H434">
            <v>0.11814378752647001</v>
          </cell>
          <cell r="I434">
            <v>0.13574175432255201</v>
          </cell>
          <cell r="J434">
            <v>0.19329220616555001</v>
          </cell>
        </row>
        <row r="435">
          <cell r="A435" t="str">
            <v>SCOM-SHSTG-ELCHP</v>
          </cell>
          <cell r="B435" t="str">
            <v>VAR_cap</v>
          </cell>
          <cell r="C435" t="str">
            <v>-</v>
          </cell>
          <cell r="H435">
            <v>0.20984435534094728</v>
          </cell>
          <cell r="I435">
            <v>0.28613767178056415</v>
          </cell>
          <cell r="J435">
            <v>0.34164624105045749</v>
          </cell>
        </row>
        <row r="436">
          <cell r="A436" t="str">
            <v>RHEM-SHLFOBR</v>
          </cell>
          <cell r="B436" t="str">
            <v>VAR_fout</v>
          </cell>
          <cell r="C436" t="str">
            <v>CO2_R</v>
          </cell>
          <cell r="H436">
            <v>614.80778651172602</v>
          </cell>
          <cell r="I436">
            <v>254.66189165977701</v>
          </cell>
          <cell r="J436">
            <v>43.603134462971603</v>
          </cell>
        </row>
        <row r="437">
          <cell r="A437" t="str">
            <v>RHEM-SHLFOBR</v>
          </cell>
          <cell r="B437" t="str">
            <v>VAR_fout</v>
          </cell>
          <cell r="C437" t="str">
            <v>RHEM-SHLFO</v>
          </cell>
          <cell r="H437">
            <v>7.2663350638738828</v>
          </cell>
          <cell r="I437">
            <v>3.009816520540427</v>
          </cell>
          <cell r="J437">
            <v>0.51558254530065073</v>
          </cell>
        </row>
        <row r="438">
          <cell r="A438" t="str">
            <v>RHEM-SHLFOBR</v>
          </cell>
          <cell r="B438" t="str">
            <v>VAR_fin</v>
          </cell>
          <cell r="C438" t="str">
            <v>RLFO</v>
          </cell>
          <cell r="H438">
            <v>8.3420323814345476</v>
          </cell>
          <cell r="I438">
            <v>3.4553852328327928</v>
          </cell>
          <cell r="J438">
            <v>0.59163004698740274</v>
          </cell>
        </row>
        <row r="439">
          <cell r="A439" t="str">
            <v>RHEM-SHLFOBR</v>
          </cell>
          <cell r="B439" t="str">
            <v>VAR_ncap</v>
          </cell>
          <cell r="C439" t="str">
            <v>-</v>
          </cell>
          <cell r="H439">
            <v>8.5654999729322903E-2</v>
          </cell>
          <cell r="I439">
            <v>0.12734045700450899</v>
          </cell>
          <cell r="J439">
            <v>3.26910190931992E-7</v>
          </cell>
        </row>
        <row r="440">
          <cell r="A440" t="str">
            <v>RHEM-SHLFOBR</v>
          </cell>
          <cell r="B440" t="str">
            <v>VAR_cap</v>
          </cell>
          <cell r="C440" t="str">
            <v>-</v>
          </cell>
          <cell r="H440">
            <v>0.5138175216525227</v>
          </cell>
          <cell r="I440">
            <v>0.21299512929970416</v>
          </cell>
          <cell r="J440">
            <v>5.9760255344070604E-2</v>
          </cell>
        </row>
        <row r="441">
          <cell r="A441" t="str">
            <v>RHES-SHNGAHP</v>
          </cell>
          <cell r="B441" t="str">
            <v>VAR_fout</v>
          </cell>
          <cell r="C441" t="str">
            <v>RHES-SHANGAH</v>
          </cell>
          <cell r="H441">
            <v>6.6269065560490841</v>
          </cell>
          <cell r="I441">
            <v>7.7922530930359963</v>
          </cell>
          <cell r="J441">
            <v>7.3585754501270868</v>
          </cell>
        </row>
        <row r="442">
          <cell r="A442" t="str">
            <v>RHES-SHNGAHP</v>
          </cell>
          <cell r="B442" t="str">
            <v>VAR_fout</v>
          </cell>
          <cell r="C442" t="str">
            <v>CO2_R</v>
          </cell>
          <cell r="H442">
            <v>193.791729682951</v>
          </cell>
          <cell r="I442">
            <v>223.67422209284999</v>
          </cell>
          <cell r="J442">
            <v>198.61958165598799</v>
          </cell>
        </row>
        <row r="443">
          <cell r="A443" t="str">
            <v>RHES-SHNGAHP</v>
          </cell>
          <cell r="B443" t="str">
            <v>VAR_fin</v>
          </cell>
          <cell r="C443" t="str">
            <v>RHESELCHPC</v>
          </cell>
          <cell r="H443">
            <v>6.6269065560490841</v>
          </cell>
          <cell r="I443">
            <v>7.7922530930359963</v>
          </cell>
          <cell r="J443">
            <v>7.3585754501270868</v>
          </cell>
        </row>
        <row r="444">
          <cell r="A444" t="str">
            <v>RHES-SHNGAHP</v>
          </cell>
          <cell r="B444" t="str">
            <v>VAR_fin</v>
          </cell>
          <cell r="C444" t="str">
            <v>RNGA</v>
          </cell>
          <cell r="H444">
            <v>3.4360235759388549</v>
          </cell>
          <cell r="I444">
            <v>3.9658550016462715</v>
          </cell>
          <cell r="J444">
            <v>3.5216237882267367</v>
          </cell>
        </row>
        <row r="445">
          <cell r="A445" t="str">
            <v>RHES-SHNGAHP</v>
          </cell>
          <cell r="B445" t="str">
            <v>VAR_ncap</v>
          </cell>
          <cell r="C445" t="str">
            <v>-</v>
          </cell>
          <cell r="H445">
            <v>9.12581976856566E-2</v>
          </cell>
          <cell r="I445">
            <v>0.32837036779962298</v>
          </cell>
          <cell r="J445">
            <v>0.31850896225105901</v>
          </cell>
        </row>
        <row r="446">
          <cell r="A446" t="str">
            <v>RHES-SHNGAHP</v>
          </cell>
          <cell r="B446" t="str">
            <v>VAR_cap</v>
          </cell>
          <cell r="C446" t="str">
            <v>-</v>
          </cell>
          <cell r="H446">
            <v>0.53541676572560015</v>
          </cell>
          <cell r="I446">
            <v>0.63060143979830618</v>
          </cell>
          <cell r="J446">
            <v>0.59541984764618849</v>
          </cell>
        </row>
        <row r="447">
          <cell r="A447" t="str">
            <v>D-RHES_LTH_CHPWOD</v>
          </cell>
          <cell r="B447" t="str">
            <v>VAR_fout</v>
          </cell>
          <cell r="C447" t="str">
            <v>RHES_LTH_CHPWOD_ON</v>
          </cell>
          <cell r="I447">
            <v>2.6518070456257605E-3</v>
          </cell>
        </row>
        <row r="448">
          <cell r="A448" t="str">
            <v>D-RHES_LTH_CHPWOD</v>
          </cell>
          <cell r="B448" t="str">
            <v>VAR_fout</v>
          </cell>
          <cell r="C448" t="str">
            <v>RHSA_LTH</v>
          </cell>
          <cell r="H448">
            <v>4.9656841526397833E-3</v>
          </cell>
          <cell r="I448">
            <v>3.2059052487067811E-3</v>
          </cell>
          <cell r="J448">
            <v>2.0497014345662026E-3</v>
          </cell>
        </row>
        <row r="449">
          <cell r="A449" t="str">
            <v>D-RHES_LTH_CHPWOD</v>
          </cell>
          <cell r="B449" t="str">
            <v>VAR_fout</v>
          </cell>
          <cell r="C449" t="str">
            <v>LTH</v>
          </cell>
          <cell r="H449">
            <v>4.5033410110295542E-6</v>
          </cell>
          <cell r="I449">
            <v>7.4033265817598035E-6</v>
          </cell>
          <cell r="J449">
            <v>3.574308126960539E-6</v>
          </cell>
        </row>
        <row r="450">
          <cell r="A450" t="str">
            <v>D-RHES_LTH_CHPWOD</v>
          </cell>
          <cell r="B450" t="str">
            <v>VAR_fin</v>
          </cell>
          <cell r="C450" t="str">
            <v>RHES_LTH_CHPWOD</v>
          </cell>
          <cell r="H450">
            <v>4.9707566861725344E-3</v>
          </cell>
          <cell r="I450">
            <v>5.865634790049634E-3</v>
          </cell>
          <cell r="J450">
            <v>2.0539753487462311E-3</v>
          </cell>
        </row>
        <row r="451">
          <cell r="A451" t="str">
            <v>ITOT-SWHSOLBR</v>
          </cell>
          <cell r="B451" t="str">
            <v>VAR_fout</v>
          </cell>
          <cell r="C451" t="str">
            <v>ITOT-SWHASOL</v>
          </cell>
          <cell r="H451">
            <v>1.1055182339051275</v>
          </cell>
          <cell r="I451">
            <v>1.0625543929346366</v>
          </cell>
          <cell r="J451">
            <v>0.72022861456633624</v>
          </cell>
        </row>
        <row r="452">
          <cell r="A452" t="str">
            <v>ITOT-SWHSOLBR</v>
          </cell>
          <cell r="B452" t="str">
            <v>VAR_fin</v>
          </cell>
          <cell r="C452" t="str">
            <v>SOL</v>
          </cell>
          <cell r="H452">
            <v>1.1055182339051275</v>
          </cell>
          <cell r="I452">
            <v>1.0625543929346366</v>
          </cell>
          <cell r="J452">
            <v>0.72022861456633624</v>
          </cell>
        </row>
        <row r="453">
          <cell r="A453" t="str">
            <v>ITOT-SWHSOLBR</v>
          </cell>
          <cell r="B453" t="str">
            <v>VAR_ncap</v>
          </cell>
          <cell r="C453" t="str">
            <v>-</v>
          </cell>
          <cell r="H453">
            <v>8.4732599516473495E-2</v>
          </cell>
          <cell r="I453">
            <v>8.3926995359720799E-2</v>
          </cell>
          <cell r="J453">
            <v>7.1907548865443704E-2</v>
          </cell>
        </row>
        <row r="454">
          <cell r="A454" t="str">
            <v>ITOT-SWHSOLBR</v>
          </cell>
          <cell r="B454" t="str">
            <v>VAR_cap</v>
          </cell>
          <cell r="C454" t="str">
            <v>-</v>
          </cell>
          <cell r="H454">
            <v>0.16866241978012558</v>
          </cell>
          <cell r="I454">
            <v>0.16865987607583799</v>
          </cell>
          <cell r="J454">
            <v>0.16865761934604601</v>
          </cell>
        </row>
        <row r="455">
          <cell r="A455" t="str">
            <v>SCOM-SHNGAHP</v>
          </cell>
          <cell r="B455" t="str">
            <v>VAR_fout</v>
          </cell>
          <cell r="C455" t="str">
            <v>SCOM-SHANGAH</v>
          </cell>
          <cell r="H455">
            <v>8.5170318987824327</v>
          </cell>
          <cell r="I455">
            <v>10.848049072449507</v>
          </cell>
          <cell r="J455">
            <v>11.304765271081521</v>
          </cell>
        </row>
        <row r="456">
          <cell r="A456" t="str">
            <v>SCOM-SHNGAHP</v>
          </cell>
          <cell r="B456" t="str">
            <v>VAR_fout</v>
          </cell>
          <cell r="C456" t="str">
            <v>CO2_S</v>
          </cell>
          <cell r="H456">
            <v>233.67807634120999</v>
          </cell>
          <cell r="I456">
            <v>289.88356930956701</v>
          </cell>
          <cell r="J456">
            <v>277.29822341065397</v>
          </cell>
        </row>
        <row r="457">
          <cell r="A457" t="str">
            <v>SCOM-SHNGAHP</v>
          </cell>
          <cell r="B457" t="str">
            <v>VAR_fin</v>
          </cell>
          <cell r="C457" t="str">
            <v>SCOMELCHPC</v>
          </cell>
          <cell r="H457">
            <v>8.5170318987824327</v>
          </cell>
          <cell r="I457">
            <v>10.848049072449507</v>
          </cell>
          <cell r="J457">
            <v>11.304765271081521</v>
          </cell>
        </row>
        <row r="458">
          <cell r="A458" t="str">
            <v>SCOM-SHNGAHP</v>
          </cell>
          <cell r="B458" t="str">
            <v>VAR_fin</v>
          </cell>
          <cell r="C458" t="str">
            <v>SNGA</v>
          </cell>
          <cell r="H458">
            <v>4.1432283039221627</v>
          </cell>
          <cell r="I458">
            <v>5.1397795976873555</v>
          </cell>
          <cell r="J458">
            <v>4.916635166855567</v>
          </cell>
        </row>
        <row r="459">
          <cell r="A459" t="str">
            <v>SCOM-SHNGAHP</v>
          </cell>
          <cell r="B459" t="str">
            <v>VAR_ncap</v>
          </cell>
          <cell r="C459" t="str">
            <v>-</v>
          </cell>
          <cell r="H459">
            <v>0.14663801280841099</v>
          </cell>
          <cell r="I459">
            <v>0.43878803191986498</v>
          </cell>
          <cell r="J459">
            <v>0.504056868033528</v>
          </cell>
        </row>
        <row r="460">
          <cell r="A460" t="str">
            <v>SCOM-SHNGAHP</v>
          </cell>
          <cell r="B460" t="str">
            <v>VAR_cap</v>
          </cell>
          <cell r="C460" t="str">
            <v>-</v>
          </cell>
          <cell r="H460">
            <v>0.65849543624283136</v>
          </cell>
          <cell r="I460">
            <v>0.84224714547602519</v>
          </cell>
          <cell r="J460">
            <v>0.88452666925860302</v>
          </cell>
        </row>
        <row r="461">
          <cell r="A461" t="str">
            <v>RHNS-SHNGABR</v>
          </cell>
          <cell r="B461" t="str">
            <v>VAR_fout</v>
          </cell>
          <cell r="C461" t="str">
            <v>CO2_R</v>
          </cell>
          <cell r="H461">
            <v>5.20400796073978</v>
          </cell>
          <cell r="I461">
            <v>4.6496423292641298</v>
          </cell>
          <cell r="J461">
            <v>2.1209134732309201</v>
          </cell>
        </row>
        <row r="462">
          <cell r="A462" t="str">
            <v>RHNS-SHNGABR</v>
          </cell>
          <cell r="B462" t="str">
            <v>VAR_fout</v>
          </cell>
          <cell r="C462" t="str">
            <v>RHNS-SHNGA</v>
          </cell>
          <cell r="H462">
            <v>8.85413294727634E-2</v>
          </cell>
          <cell r="I462">
            <v>7.9109316609761518E-2</v>
          </cell>
          <cell r="J462">
            <v>3.6085359598463491E-2</v>
          </cell>
        </row>
        <row r="463">
          <cell r="A463" t="str">
            <v>RHNS-SHNGABR</v>
          </cell>
          <cell r="B463" t="str">
            <v>VAR_fin</v>
          </cell>
          <cell r="C463" t="str">
            <v>RNGA</v>
          </cell>
          <cell r="H463">
            <v>9.2269644693967673E-2</v>
          </cell>
          <cell r="I463">
            <v>8.2440466830924389E-2</v>
          </cell>
          <cell r="J463">
            <v>3.7604848816150997E-2</v>
          </cell>
        </row>
        <row r="464">
          <cell r="A464" t="str">
            <v>RHNS-SHNGABR</v>
          </cell>
          <cell r="B464" t="str">
            <v>VAR_ncap</v>
          </cell>
          <cell r="C464" t="str">
            <v>-</v>
          </cell>
          <cell r="H464">
            <v>2.8740394474135898E-3</v>
          </cell>
          <cell r="I464">
            <v>3.00315588855978E-3</v>
          </cell>
          <cell r="J464">
            <v>2.8404813170085E-6</v>
          </cell>
        </row>
        <row r="465">
          <cell r="A465" t="str">
            <v>RHNS-SHNGABR</v>
          </cell>
          <cell r="B465" t="str">
            <v>VAR_cap</v>
          </cell>
          <cell r="C465" t="str">
            <v>-</v>
          </cell>
          <cell r="H465">
            <v>6.7220234805177035E-3</v>
          </cell>
          <cell r="I465">
            <v>5.8773250992183151E-3</v>
          </cell>
          <cell r="J465">
            <v>3.395750776465188E-3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RHSA_LTH</v>
          </cell>
          <cell r="H466">
            <v>1.0003266590220288E-2</v>
          </cell>
          <cell r="I466">
            <v>2.0934923017391824E-3</v>
          </cell>
          <cell r="J466">
            <v>2.7283409777172917E-5</v>
          </cell>
        </row>
        <row r="467">
          <cell r="A467" t="str">
            <v>D-RHNM_LTH_CHPNGA</v>
          </cell>
          <cell r="B467" t="str">
            <v>VAR_fout</v>
          </cell>
          <cell r="C467" t="str">
            <v>LTH</v>
          </cell>
          <cell r="H467">
            <v>1.2057835202104456E-5</v>
          </cell>
          <cell r="I467">
            <v>6.2054592815214285E-6</v>
          </cell>
          <cell r="J467">
            <v>1.6601339130266918E-5</v>
          </cell>
        </row>
        <row r="468">
          <cell r="A468" t="str">
            <v>D-RHNM_LTH_CHPNGA</v>
          </cell>
          <cell r="B468" t="str">
            <v>VAR_fout</v>
          </cell>
          <cell r="C468" t="str">
            <v>RHNM_LTH_CHPNGA_ON</v>
          </cell>
          <cell r="H468">
            <v>2.435379501840685E-3</v>
          </cell>
          <cell r="I468">
            <v>2.4393873324233201E-3</v>
          </cell>
          <cell r="J468">
            <v>1.0961774557680146E-5</v>
          </cell>
        </row>
        <row r="469">
          <cell r="A469" t="str">
            <v>D-RHNM_LTH_CHPNGA</v>
          </cell>
          <cell r="B469" t="str">
            <v>VAR_fin</v>
          </cell>
          <cell r="C469" t="str">
            <v>RHNM_LTH_CHPNGA</v>
          </cell>
          <cell r="H469">
            <v>1.2450703927263076E-2</v>
          </cell>
          <cell r="I469">
            <v>4.5391345777833006E-3</v>
          </cell>
          <cell r="J469">
            <v>5.4846523465119954E-5</v>
          </cell>
        </row>
        <row r="470">
          <cell r="A470" t="str">
            <v>RHNM-SHELCHP</v>
          </cell>
          <cell r="B470" t="str">
            <v>VAR_fout</v>
          </cell>
          <cell r="C470" t="str">
            <v>RHNM-SHAELCH</v>
          </cell>
          <cell r="H470">
            <v>1.9005737573142583</v>
          </cell>
          <cell r="I470">
            <v>2.2190475132179648</v>
          </cell>
          <cell r="J470">
            <v>2.658240576437088</v>
          </cell>
        </row>
        <row r="471">
          <cell r="A471" t="str">
            <v>RHNM-SHELCHP</v>
          </cell>
          <cell r="B471" t="str">
            <v>VAR_fin</v>
          </cell>
          <cell r="C471" t="str">
            <v>RHNM_ELC</v>
          </cell>
          <cell r="H471">
            <v>0.51854916686186037</v>
          </cell>
          <cell r="I471">
            <v>0.58591764429331838</v>
          </cell>
          <cell r="J471">
            <v>0.65497553902571604</v>
          </cell>
        </row>
        <row r="472">
          <cell r="A472" t="str">
            <v>RHNM-SHELCHP</v>
          </cell>
          <cell r="B472" t="str">
            <v>VAR_fin</v>
          </cell>
          <cell r="C472" t="str">
            <v>RHNMELCHPC</v>
          </cell>
          <cell r="H472">
            <v>1.9005737573142583</v>
          </cell>
          <cell r="I472">
            <v>2.2190475132179648</v>
          </cell>
          <cell r="J472">
            <v>2.658240576437088</v>
          </cell>
        </row>
        <row r="473">
          <cell r="A473" t="str">
            <v>RHNM-SHELCHP</v>
          </cell>
          <cell r="B473" t="str">
            <v>VAR_ncap</v>
          </cell>
          <cell r="C473" t="str">
            <v>-</v>
          </cell>
          <cell r="H473">
            <v>3.5716643725822103E-2</v>
          </cell>
          <cell r="I473">
            <v>9.7440593751408802E-2</v>
          </cell>
          <cell r="J473">
            <v>0.120561771402804</v>
          </cell>
        </row>
        <row r="474">
          <cell r="A474" t="str">
            <v>RHNM-SHELCHP</v>
          </cell>
          <cell r="B474" t="str">
            <v>VAR_cap</v>
          </cell>
          <cell r="C474" t="str">
            <v>-</v>
          </cell>
          <cell r="H474">
            <v>0.14768897944426437</v>
          </cell>
          <cell r="I474">
            <v>0.17270440580748955</v>
          </cell>
          <cell r="J474">
            <v>0.20638522567858789</v>
          </cell>
        </row>
        <row r="475">
          <cell r="A475" t="str">
            <v>D-IH2R</v>
          </cell>
          <cell r="B475" t="str">
            <v>VAR_fout</v>
          </cell>
          <cell r="C475" t="str">
            <v>IH2</v>
          </cell>
          <cell r="H475">
            <v>7.6644815936080057</v>
          </cell>
          <cell r="I475">
            <v>8.5681984691388831</v>
          </cell>
          <cell r="J475">
            <v>7.9506815965843574</v>
          </cell>
        </row>
        <row r="476">
          <cell r="A476" t="str">
            <v>D-IH2R</v>
          </cell>
          <cell r="B476" t="str">
            <v>VAR_fin</v>
          </cell>
          <cell r="C476" t="str">
            <v>H2</v>
          </cell>
          <cell r="H476">
            <v>7.6644815936080057</v>
          </cell>
          <cell r="I476">
            <v>8.5681984691388831</v>
          </cell>
          <cell r="J476">
            <v>7.9506815965843574</v>
          </cell>
        </row>
        <row r="477">
          <cell r="A477" t="str">
            <v>D-IH2R</v>
          </cell>
          <cell r="B477" t="str">
            <v>VAR_ncap</v>
          </cell>
          <cell r="C477" t="str">
            <v>-</v>
          </cell>
          <cell r="H477">
            <v>0.27013713074826401</v>
          </cell>
          <cell r="I477">
            <v>0.32571648201074599</v>
          </cell>
          <cell r="J477">
            <v>0.188199506249068</v>
          </cell>
        </row>
        <row r="478">
          <cell r="A478" t="str">
            <v>D-IH2R</v>
          </cell>
          <cell r="B478" t="str">
            <v>VAR_cap</v>
          </cell>
          <cell r="C478" t="str">
            <v>-</v>
          </cell>
          <cell r="H478">
            <v>0.27013796635632698</v>
          </cell>
          <cell r="I478">
            <v>0.37356369015310598</v>
          </cell>
          <cell r="J478">
            <v>0.29976432175257001</v>
          </cell>
        </row>
        <row r="479">
          <cell r="A479" t="str">
            <v>RHEM-SHSTG-ELC</v>
          </cell>
          <cell r="B479" t="str">
            <v>VAR_fout</v>
          </cell>
          <cell r="C479" t="str">
            <v>RHEM-SHAELCB</v>
          </cell>
          <cell r="H479">
            <v>2.3947614488973581E-4</v>
          </cell>
          <cell r="I479">
            <v>4.1694312349405273E-4</v>
          </cell>
          <cell r="J479">
            <v>6.7693167720093538E-4</v>
          </cell>
        </row>
        <row r="480">
          <cell r="A480" t="str">
            <v>RHEM-SHSTG-ELC</v>
          </cell>
          <cell r="B480" t="str">
            <v>VAR_fout</v>
          </cell>
          <cell r="C480" t="str">
            <v>AUX_RHEM-SHSTG-ELC_OUT</v>
          </cell>
          <cell r="H480">
            <v>2.3971562103462538E-4</v>
          </cell>
          <cell r="I480">
            <v>4.1736006661754685E-4</v>
          </cell>
          <cell r="J480">
            <v>6.7760860887813661E-4</v>
          </cell>
        </row>
        <row r="481">
          <cell r="A481" t="str">
            <v>RHEM-SHSTG-ELC</v>
          </cell>
          <cell r="B481" t="str">
            <v>VAR_fin</v>
          </cell>
          <cell r="C481" t="str">
            <v>RHEM-SHAELCB</v>
          </cell>
          <cell r="H481">
            <v>2.4079273133034709E-4</v>
          </cell>
          <cell r="I481">
            <v>4.1872473338038917E-4</v>
          </cell>
          <cell r="J481">
            <v>6.7818041690516199E-4</v>
          </cell>
        </row>
        <row r="482">
          <cell r="A482" t="str">
            <v>RHEM-SHSTG-ELC</v>
          </cell>
          <cell r="B482" t="str">
            <v>VAR_ncap</v>
          </cell>
          <cell r="C482" t="str">
            <v>-</v>
          </cell>
          <cell r="H482">
            <v>6.6643361561549803E-5</v>
          </cell>
          <cell r="I482">
            <v>6.7344191584464396E-5</v>
          </cell>
          <cell r="J482">
            <v>8.3299580489942102E-5</v>
          </cell>
        </row>
        <row r="483">
          <cell r="A483" t="str">
            <v>RHEM-SHSTG-ELC</v>
          </cell>
          <cell r="B483" t="str">
            <v>VAR_cap</v>
          </cell>
          <cell r="C483" t="str">
            <v>-</v>
          </cell>
          <cell r="H483">
            <v>1.1652162935400084E-4</v>
          </cell>
          <cell r="I483">
            <v>9.3727068857446904E-5</v>
          </cell>
          <cell r="J483">
            <v>1.1554855220133251E-4</v>
          </cell>
        </row>
        <row r="484">
          <cell r="A484" t="str">
            <v>RHNM-SHLTHCHPWOD</v>
          </cell>
          <cell r="B484" t="str">
            <v>VAR_ncap</v>
          </cell>
          <cell r="C484" t="str">
            <v>-</v>
          </cell>
          <cell r="H484">
            <v>2.56468580105873E-2</v>
          </cell>
          <cell r="I484">
            <v>2.8324728641115501E-2</v>
          </cell>
          <cell r="J484">
            <v>9.9183191782443204E-3</v>
          </cell>
        </row>
        <row r="485">
          <cell r="A485" t="str">
            <v>RHNM-SHLTHCHPWOD</v>
          </cell>
          <cell r="B485" t="str">
            <v>VAR_cap</v>
          </cell>
          <cell r="C485" t="str">
            <v>-</v>
          </cell>
          <cell r="H485">
            <v>2.6010819219565853E-2</v>
          </cell>
          <cell r="I485">
            <v>4.4682887567995246E-2</v>
          </cell>
          <cell r="J485">
            <v>2.02410810430248E-2</v>
          </cell>
        </row>
        <row r="486">
          <cell r="A486" t="str">
            <v>ITOT-SWHDEM</v>
          </cell>
          <cell r="B486" t="str">
            <v>VAR_fout</v>
          </cell>
          <cell r="C486" t="str">
            <v>ITOT-SWHD</v>
          </cell>
          <cell r="H486">
            <v>77.28531631967806</v>
          </cell>
          <cell r="I486">
            <v>77.914021850291718</v>
          </cell>
          <cell r="J486">
            <v>78.763108049612015</v>
          </cell>
        </row>
        <row r="487">
          <cell r="A487" t="str">
            <v>ITOT-SWHDEM</v>
          </cell>
          <cell r="B487" t="str">
            <v>VAR_fin</v>
          </cell>
          <cell r="C487" t="str">
            <v>ITOT-SWHNGAH</v>
          </cell>
          <cell r="H487">
            <v>6.9513492606211999E-3</v>
          </cell>
          <cell r="I487">
            <v>3.7102131127344788E-3</v>
          </cell>
          <cell r="J487">
            <v>2.3653966735194126E-3</v>
          </cell>
        </row>
        <row r="488">
          <cell r="A488" t="str">
            <v>ITOT-SWHDEM</v>
          </cell>
          <cell r="B488" t="str">
            <v>VAR_fin</v>
          </cell>
          <cell r="C488" t="str">
            <v>ITOT-SWH</v>
          </cell>
          <cell r="H488">
            <v>51.602164005473306</v>
          </cell>
          <cell r="I488">
            <v>42.215366790911013</v>
          </cell>
          <cell r="J488">
            <v>40.31844265535554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ITOT-SWHELCH</v>
          </cell>
          <cell r="H489">
            <v>8.3332774505744087</v>
          </cell>
          <cell r="I489">
            <v>9.7914538538449456</v>
          </cell>
          <cell r="J489">
            <v>12.851416639417367</v>
          </cell>
        </row>
        <row r="490">
          <cell r="A490" t="str">
            <v>ITOT-SWHDEM</v>
          </cell>
          <cell r="B490" t="str">
            <v>VAR_fin</v>
          </cell>
          <cell r="C490" t="str">
            <v>ITOT-SWHC</v>
          </cell>
          <cell r="H490">
            <v>1.8281924225541952</v>
          </cell>
          <cell r="I490">
            <v>10.556168384238161</v>
          </cell>
          <cell r="J490">
            <v>10.607472071850875</v>
          </cell>
        </row>
        <row r="491">
          <cell r="A491" t="str">
            <v>ITOT-SWHDEM</v>
          </cell>
          <cell r="B491" t="str">
            <v>VAR_fin</v>
          </cell>
          <cell r="C491" t="str">
            <v>ITOT-SWHELC</v>
          </cell>
          <cell r="H491">
            <v>14.409719566737866</v>
          </cell>
          <cell r="I491">
            <v>14.294907479301383</v>
          </cell>
          <cell r="J491">
            <v>14.2640728322146</v>
          </cell>
        </row>
        <row r="492">
          <cell r="A492" t="str">
            <v>ITOT-SWHDEM</v>
          </cell>
          <cell r="B492" t="str">
            <v>VAR_fin</v>
          </cell>
          <cell r="C492" t="str">
            <v>ITOT-SWHSOL</v>
          </cell>
          <cell r="H492">
            <v>1.1053432042115441</v>
          </cell>
          <cell r="I492">
            <v>1.0526918814085933</v>
          </cell>
          <cell r="J492">
            <v>0.71968287830208644</v>
          </cell>
        </row>
        <row r="493">
          <cell r="A493" t="str">
            <v>D-RHNS_NKEV_GAS_ELC_CHP</v>
          </cell>
          <cell r="B493" t="str">
            <v>VAR_fout</v>
          </cell>
          <cell r="C493" t="str">
            <v>RHNS_ELC</v>
          </cell>
          <cell r="H493">
            <v>1.2825540386476896E-3</v>
          </cell>
          <cell r="I493">
            <v>6.1609993217575938E-4</v>
          </cell>
        </row>
        <row r="494">
          <cell r="A494" t="str">
            <v>D-RHNS_NKEV_GAS_ELC_CHP</v>
          </cell>
          <cell r="B494" t="str">
            <v>VAR_fout</v>
          </cell>
          <cell r="C494" t="str">
            <v>ELC5</v>
          </cell>
          <cell r="H494">
            <v>8.1768171716587834E-4</v>
          </cell>
          <cell r="I494">
            <v>4.7975213611477192E-4</v>
          </cell>
        </row>
        <row r="495">
          <cell r="A495" t="str">
            <v>D-RHNS_NKEV_GAS_ELC_CHP</v>
          </cell>
          <cell r="B495" t="str">
            <v>VAR_fin</v>
          </cell>
          <cell r="C495" t="str">
            <v>RHNS_NKEV_GAS_ELC_CHP</v>
          </cell>
          <cell r="H495">
            <v>2.0696267052647231E-3</v>
          </cell>
          <cell r="I495">
            <v>1.0729324922000068E-3</v>
          </cell>
        </row>
        <row r="496">
          <cell r="A496" t="str">
            <v>RHNM-SHSTG-NGAHP</v>
          </cell>
          <cell r="B496" t="str">
            <v>VAR_fout</v>
          </cell>
          <cell r="C496" t="str">
            <v>RHNM-SHANGAH</v>
          </cell>
          <cell r="H496">
            <v>5.0600424370947882E-2</v>
          </cell>
          <cell r="I496">
            <v>7.105966068032088E-2</v>
          </cell>
          <cell r="J496">
            <v>8.5380023991956558E-2</v>
          </cell>
        </row>
        <row r="497">
          <cell r="A497" t="str">
            <v>RHNM-SHSTG-NGAHP</v>
          </cell>
          <cell r="B497" t="str">
            <v>VAR_fout</v>
          </cell>
          <cell r="C497" t="str">
            <v>AUX_RHNM-SHSTG-NGAHP_OUT</v>
          </cell>
          <cell r="H497">
            <v>5.0651024795318793E-2</v>
          </cell>
          <cell r="I497">
            <v>7.113072034100125E-2</v>
          </cell>
          <cell r="J497">
            <v>8.5465404015948515E-2</v>
          </cell>
        </row>
        <row r="498">
          <cell r="A498" t="str">
            <v>RHNM-SHSTG-NGAHP</v>
          </cell>
          <cell r="B498" t="str">
            <v>VAR_fin</v>
          </cell>
          <cell r="C498" t="str">
            <v>RHNM-SHANGAH</v>
          </cell>
          <cell r="H498">
            <v>5.0634601627388497E-2</v>
          </cell>
          <cell r="I498">
            <v>7.1089249429183002E-2</v>
          </cell>
          <cell r="J498">
            <v>8.5424804690910586E-2</v>
          </cell>
        </row>
        <row r="499">
          <cell r="A499" t="str">
            <v>RHNM-SHSTG-NGAHP</v>
          </cell>
          <cell r="B499" t="str">
            <v>VAR_ncap</v>
          </cell>
          <cell r="C499" t="str">
            <v>-</v>
          </cell>
          <cell r="H499">
            <v>4.7355365496208196E-3</v>
          </cell>
          <cell r="I499">
            <v>1.0207918856621199E-2</v>
          </cell>
          <cell r="J499">
            <v>1.45181623574647E-2</v>
          </cell>
        </row>
        <row r="500">
          <cell r="A500" t="str">
            <v>RHNM-SHSTG-NGAHP</v>
          </cell>
          <cell r="B500" t="str">
            <v>VAR_cap</v>
          </cell>
          <cell r="C500" t="str">
            <v>-</v>
          </cell>
          <cell r="H500">
            <v>1.7521531515035289E-2</v>
          </cell>
          <cell r="I500">
            <v>2.1091806620236384E-2</v>
          </cell>
          <cell r="J500">
            <v>2.3810821600836102E-2</v>
          </cell>
        </row>
        <row r="501">
          <cell r="A501" t="str">
            <v>D-IBIO</v>
          </cell>
          <cell r="B501" t="str">
            <v>VAR_fout</v>
          </cell>
          <cell r="C501" t="str">
            <v>IBIO</v>
          </cell>
          <cell r="H501">
            <v>3.2330110126823568</v>
          </cell>
          <cell r="I501">
            <v>3.2330152617170298</v>
          </cell>
          <cell r="J501">
            <v>3.9012376624904341</v>
          </cell>
        </row>
        <row r="502">
          <cell r="A502" t="str">
            <v>D-IBIO</v>
          </cell>
          <cell r="B502" t="str">
            <v>VAR_fin</v>
          </cell>
          <cell r="C502" t="str">
            <v>BIO</v>
          </cell>
          <cell r="H502">
            <v>3.2330110126823568</v>
          </cell>
          <cell r="I502">
            <v>3.2330152617170298</v>
          </cell>
          <cell r="J502">
            <v>3.9012376624904341</v>
          </cell>
        </row>
        <row r="503">
          <cell r="A503" t="str">
            <v>D-RHES_KEV_WOD_ELC_CHP</v>
          </cell>
          <cell r="B503" t="str">
            <v>VAR_fout</v>
          </cell>
          <cell r="C503" t="str">
            <v>RHES_ELC</v>
          </cell>
          <cell r="H503">
            <v>1.3236588683279244E-3</v>
          </cell>
          <cell r="I503">
            <v>1.5610427830522868E-3</v>
          </cell>
          <cell r="J503">
            <v>5.7170322189953934E-4</v>
          </cell>
        </row>
        <row r="504">
          <cell r="A504" t="str">
            <v>D-RHES_KEV_WOD_ELC_CHP</v>
          </cell>
          <cell r="B504" t="str">
            <v>VAR_fout</v>
          </cell>
          <cell r="C504" t="str">
            <v>ELC5</v>
          </cell>
          <cell r="H504">
            <v>8.9788538398572837E-4</v>
          </cell>
          <cell r="I504">
            <v>8.6872663182301145E-4</v>
          </cell>
          <cell r="J504">
            <v>3.8757144219690265E-4</v>
          </cell>
        </row>
        <row r="505">
          <cell r="A505" t="str">
            <v>D-RHES_KEV_WOD_ELC_CHP</v>
          </cell>
          <cell r="B505" t="str">
            <v>VAR_fin</v>
          </cell>
          <cell r="C505" t="str">
            <v>RHES_KEV_WOD_ELC_CHP</v>
          </cell>
          <cell r="H505">
            <v>2.1970961259562909E-3</v>
          </cell>
          <cell r="I505">
            <v>2.4055440313644201E-3</v>
          </cell>
          <cell r="J505">
            <v>9.3719852763914666E-4</v>
          </cell>
        </row>
        <row r="506">
          <cell r="A506" t="str">
            <v>RHNS-SHLFOBR</v>
          </cell>
          <cell r="B506" t="str">
            <v>VAR_fout</v>
          </cell>
          <cell r="C506" t="str">
            <v>CO2_R</v>
          </cell>
          <cell r="H506">
            <v>4.1700429832994601</v>
          </cell>
          <cell r="I506">
            <v>3.7660126471058599</v>
          </cell>
        </row>
        <row r="507">
          <cell r="A507" t="str">
            <v>RHNS-SHLFOBR</v>
          </cell>
          <cell r="B507" t="str">
            <v>VAR_fout</v>
          </cell>
          <cell r="C507" t="str">
            <v>RHNS-SHLFO</v>
          </cell>
          <cell r="H507">
            <v>5.3717570165303277E-2</v>
          </cell>
          <cell r="I507">
            <v>4.8512940855650728E-2</v>
          </cell>
        </row>
        <row r="508">
          <cell r="A508" t="str">
            <v>RHNS-SHLFOBR</v>
          </cell>
          <cell r="B508" t="str">
            <v>VAR_fin</v>
          </cell>
          <cell r="C508" t="str">
            <v>RLFO</v>
          </cell>
          <cell r="H508">
            <v>5.65813159199385E-2</v>
          </cell>
          <cell r="I508">
            <v>5.1099221806049547E-2</v>
          </cell>
        </row>
        <row r="509">
          <cell r="A509" t="str">
            <v>RHNS-SHLFOBR</v>
          </cell>
          <cell r="B509" t="str">
            <v>VAR_ncap</v>
          </cell>
          <cell r="C509" t="str">
            <v>-</v>
          </cell>
        </row>
        <row r="510">
          <cell r="A510" t="str">
            <v>RHNS-SHLFOBR</v>
          </cell>
          <cell r="B510" t="str">
            <v>VAR_cap</v>
          </cell>
          <cell r="C510" t="str">
            <v>-</v>
          </cell>
          <cell r="H510">
            <v>1.998387275437041E-2</v>
          </cell>
          <cell r="I510">
            <v>3.5383210794284348E-3</v>
          </cell>
        </row>
        <row r="511">
          <cell r="A511" t="str">
            <v>D-SNGA</v>
          </cell>
          <cell r="B511" t="str">
            <v>VAR_fout</v>
          </cell>
          <cell r="C511" t="str">
            <v>CO2</v>
          </cell>
          <cell r="H511">
            <v>837.10909727782496</v>
          </cell>
          <cell r="I511">
            <v>517.06707850147097</v>
          </cell>
          <cell r="J511">
            <v>255.70157059548001</v>
          </cell>
        </row>
        <row r="512">
          <cell r="A512" t="str">
            <v>D-SNGA</v>
          </cell>
          <cell r="B512" t="str">
            <v>VAR_fout</v>
          </cell>
          <cell r="C512" t="str">
            <v>SNGA</v>
          </cell>
          <cell r="H512">
            <v>15.459090050337572</v>
          </cell>
          <cell r="I512">
            <v>11.130293139556313</v>
          </cell>
          <cell r="J512">
            <v>7.1728447457327373</v>
          </cell>
        </row>
        <row r="513">
          <cell r="A513" t="str">
            <v>D-SNGA</v>
          </cell>
          <cell r="B513" t="str">
            <v>VAR_fout</v>
          </cell>
          <cell r="C513" t="str">
            <v>RSH2</v>
          </cell>
          <cell r="H513">
            <v>4.4490477181038301E-3</v>
          </cell>
          <cell r="I513">
            <v>4.8625584838947345E-3</v>
          </cell>
          <cell r="J513">
            <v>5.3970397246737795E-3</v>
          </cell>
        </row>
        <row r="514">
          <cell r="A514" t="str">
            <v>D-SNGA</v>
          </cell>
          <cell r="B514" t="str">
            <v>VAR_fin</v>
          </cell>
          <cell r="C514" t="str">
            <v>NGA</v>
          </cell>
          <cell r="H514">
            <v>14.842359880812511</v>
          </cell>
          <cell r="I514">
            <v>9.1678560017991195</v>
          </cell>
          <cell r="J514">
            <v>4.533715790699997</v>
          </cell>
        </row>
        <row r="515">
          <cell r="A515" t="str">
            <v>D-SNGA</v>
          </cell>
          <cell r="B515" t="str">
            <v>VAR_fin</v>
          </cell>
          <cell r="C515" t="str">
            <v>BNGA</v>
          </cell>
          <cell r="H515">
            <v>0.66614973737096628</v>
          </cell>
          <cell r="I515">
            <v>1.9980288423412098</v>
          </cell>
          <cell r="J515">
            <v>2.6622672567867793</v>
          </cell>
        </row>
        <row r="516">
          <cell r="A516" t="str">
            <v>D-SNGA</v>
          </cell>
          <cell r="B516" t="str">
            <v>VAR_fin</v>
          </cell>
          <cell r="C516" t="str">
            <v>H2</v>
          </cell>
          <cell r="H516">
            <v>4.4454962560330673E-3</v>
          </cell>
          <cell r="I516">
            <v>4.8535481917320574E-3</v>
          </cell>
          <cell r="J516">
            <v>5.3892722596744283E-3</v>
          </cell>
        </row>
        <row r="517">
          <cell r="A517" t="str">
            <v>D-SNGA</v>
          </cell>
          <cell r="B517" t="str">
            <v>VAR_ncap</v>
          </cell>
          <cell r="C517" t="str">
            <v>-</v>
          </cell>
          <cell r="H517">
            <v>8.30986230407044E-7</v>
          </cell>
          <cell r="I517">
            <v>8.1439341736749904E-7</v>
          </cell>
          <cell r="J517">
            <v>1.85721600076449E-6</v>
          </cell>
        </row>
        <row r="518">
          <cell r="A518" t="str">
            <v>D-SNGA</v>
          </cell>
          <cell r="B518" t="str">
            <v>VAR_cap</v>
          </cell>
          <cell r="C518" t="str">
            <v>-</v>
          </cell>
          <cell r="H518">
            <v>2.2350561961706177</v>
          </cell>
          <cell r="I518">
            <v>2.2350570105640348</v>
          </cell>
          <cell r="J518">
            <v>1.1208971686437557</v>
          </cell>
        </row>
        <row r="519">
          <cell r="A519" t="str">
            <v>D-IPLT</v>
          </cell>
          <cell r="B519" t="str">
            <v>VAR_fout</v>
          </cell>
          <cell r="C519" t="str">
            <v>IPLT</v>
          </cell>
          <cell r="H519">
            <v>0.73445859728159224</v>
          </cell>
          <cell r="I519">
            <v>0.73241398124465429</v>
          </cell>
          <cell r="J519">
            <v>0.72836896476980884</v>
          </cell>
        </row>
        <row r="520">
          <cell r="A520" t="str">
            <v>D-IPLT</v>
          </cell>
          <cell r="B520" t="str">
            <v>VAR_fin</v>
          </cell>
          <cell r="C520" t="str">
            <v>PLT</v>
          </cell>
          <cell r="H520">
            <v>0.73445859728159224</v>
          </cell>
          <cell r="I520">
            <v>0.73241398124465429</v>
          </cell>
          <cell r="J520">
            <v>0.72836896476980884</v>
          </cell>
        </row>
        <row r="521">
          <cell r="A521" t="str">
            <v>ITOT-SWHWODBR</v>
          </cell>
          <cell r="B521" t="str">
            <v>VAR_fout</v>
          </cell>
          <cell r="C521" t="str">
            <v>ITOT-SWH</v>
          </cell>
          <cell r="H521">
            <v>7.7145593204736391</v>
          </cell>
          <cell r="I521">
            <v>5.9480085910564355</v>
          </cell>
          <cell r="J521">
            <v>7.3309182070111492</v>
          </cell>
        </row>
        <row r="522">
          <cell r="A522" t="str">
            <v>ITOT-SWHWODBR</v>
          </cell>
          <cell r="B522" t="str">
            <v>VAR_fin</v>
          </cell>
          <cell r="C522" t="str">
            <v>IWOD</v>
          </cell>
          <cell r="H522">
            <v>12.965645916762423</v>
          </cell>
          <cell r="I522">
            <v>9.9687294822174835</v>
          </cell>
          <cell r="J522">
            <v>12.218197011685245</v>
          </cell>
        </row>
        <row r="523">
          <cell r="A523" t="str">
            <v>ITOT-SWHWODBR</v>
          </cell>
          <cell r="B523" t="str">
            <v>VAR_fin</v>
          </cell>
          <cell r="C523" t="str">
            <v>ITOTWODBRC</v>
          </cell>
          <cell r="H523">
            <v>7.7145593204736391</v>
          </cell>
          <cell r="I523">
            <v>5.9480085910564355</v>
          </cell>
          <cell r="J523">
            <v>7.3309182070111492</v>
          </cell>
        </row>
        <row r="524">
          <cell r="A524" t="str">
            <v>ITOT-SWHWODBR</v>
          </cell>
          <cell r="B524" t="str">
            <v>VAR_ncap</v>
          </cell>
          <cell r="C524" t="str">
            <v>-</v>
          </cell>
          <cell r="H524">
            <v>0.29313101252574097</v>
          </cell>
          <cell r="I524">
            <v>9.9033590764220206E-2</v>
          </cell>
          <cell r="J524">
            <v>0.287453559230612</v>
          </cell>
        </row>
        <row r="525">
          <cell r="A525" t="str">
            <v>ITOT-SWHWODBR</v>
          </cell>
          <cell r="B525" t="str">
            <v>VAR_cap</v>
          </cell>
          <cell r="C525" t="str">
            <v>-</v>
          </cell>
          <cell r="H525">
            <v>0.43890563337913141</v>
          </cell>
          <cell r="I525">
            <v>0.42132343265555477</v>
          </cell>
          <cell r="J525">
            <v>0.48328744469414731</v>
          </cell>
        </row>
        <row r="526">
          <cell r="A526" t="str">
            <v>D-ITOT_KEV_WOD_ELC_CHP</v>
          </cell>
          <cell r="B526" t="str">
            <v>VAR_fout</v>
          </cell>
          <cell r="C526" t="str">
            <v>ITOT_ELC</v>
          </cell>
          <cell r="H526">
            <v>2.7458748713851913</v>
          </cell>
          <cell r="I526">
            <v>2.7933608775044787</v>
          </cell>
          <cell r="J526">
            <v>3.4153315766727417</v>
          </cell>
        </row>
        <row r="527">
          <cell r="A527" t="str">
            <v>D-ITOT_KEV_WOD_ELC_CHP</v>
          </cell>
          <cell r="B527" t="str">
            <v>VAR_fout</v>
          </cell>
          <cell r="C527" t="str">
            <v>ELC5</v>
          </cell>
          <cell r="H527">
            <v>7.0772877460294282E-3</v>
          </cell>
          <cell r="I527">
            <v>3.3388127635644492E-2</v>
          </cell>
          <cell r="J527">
            <v>3.7029366538773936E-2</v>
          </cell>
        </row>
        <row r="528">
          <cell r="A528" t="str">
            <v>D-ITOT_KEV_WOD_ELC_CHP</v>
          </cell>
          <cell r="B528" t="str">
            <v>VAR_fin</v>
          </cell>
          <cell r="C528" t="str">
            <v>ITOT_KEV_WOD_ELC_CHP</v>
          </cell>
          <cell r="H528">
            <v>2.7529153085703624</v>
          </cell>
          <cell r="I528">
            <v>2.826749005140123</v>
          </cell>
          <cell r="J528">
            <v>3.4523609432115161</v>
          </cell>
        </row>
        <row r="529">
          <cell r="A529" t="str">
            <v>RHEM-SHSTG-SOL</v>
          </cell>
          <cell r="B529" t="str">
            <v>VAR_fout</v>
          </cell>
          <cell r="C529" t="str">
            <v>RHEM-SHASOL</v>
          </cell>
          <cell r="H529">
            <v>7.1343490648906717E-3</v>
          </cell>
          <cell r="I529">
            <v>2.1129606472127709E-3</v>
          </cell>
          <cell r="J529">
            <v>1.8514906256460594E-3</v>
          </cell>
        </row>
        <row r="530">
          <cell r="A530" t="str">
            <v>RHEM-SHSTG-SOL</v>
          </cell>
          <cell r="B530" t="str">
            <v>VAR_fout</v>
          </cell>
          <cell r="C530" t="str">
            <v>AUX_RHEM-SHSTG-SOL_OUT</v>
          </cell>
          <cell r="H530">
            <v>7.1414834139555588E-3</v>
          </cell>
          <cell r="I530">
            <v>2.1150736078599823E-3</v>
          </cell>
          <cell r="J530">
            <v>1.8533421162717062E-3</v>
          </cell>
        </row>
        <row r="531">
          <cell r="A531" t="str">
            <v>RHEM-SHSTG-SOL</v>
          </cell>
          <cell r="B531" t="str">
            <v>VAR_fin</v>
          </cell>
          <cell r="C531" t="str">
            <v>RHEM-SHASOL</v>
          </cell>
          <cell r="H531">
            <v>7.1307124588801101E-3</v>
          </cell>
          <cell r="I531">
            <v>2.1087160025979271E-3</v>
          </cell>
          <cell r="J531">
            <v>1.8456311898635599E-3</v>
          </cell>
        </row>
        <row r="532">
          <cell r="A532" t="str">
            <v>RHEM-SHSTG-SOL</v>
          </cell>
          <cell r="B532" t="str">
            <v>VAR_ncap</v>
          </cell>
          <cell r="C532" t="str">
            <v>-</v>
          </cell>
          <cell r="H532">
            <v>3.7210344082712202E-4</v>
          </cell>
          <cell r="I532">
            <v>6.4092543760550701E-5</v>
          </cell>
          <cell r="J532">
            <v>1.5061595453807699E-4</v>
          </cell>
        </row>
        <row r="533">
          <cell r="A533" t="str">
            <v>RHEM-SHSTG-SOL</v>
          </cell>
          <cell r="B533" t="str">
            <v>VAR_cap</v>
          </cell>
          <cell r="C533" t="str">
            <v>-</v>
          </cell>
          <cell r="H533">
            <v>4.5955442679375402E-3</v>
          </cell>
          <cell r="I533">
            <v>4.3675177102938799E-4</v>
          </cell>
          <cell r="J533">
            <v>3.5452782739192498E-4</v>
          </cell>
        </row>
        <row r="534">
          <cell r="A534" t="str">
            <v>ITOT-SWHCONBR10</v>
          </cell>
          <cell r="B534" t="str">
            <v>VAR_fout</v>
          </cell>
          <cell r="C534" t="str">
            <v>ITOT-ELS</v>
          </cell>
          <cell r="J534">
            <v>5.4660809688669772E-5</v>
          </cell>
        </row>
        <row r="535">
          <cell r="A535" t="str">
            <v>ITOT-SWHCONBR10</v>
          </cell>
          <cell r="B535" t="str">
            <v>VAR_fout</v>
          </cell>
          <cell r="C535" t="str">
            <v>ITOT-SWHC</v>
          </cell>
          <cell r="J535">
            <v>3.3660696113155828E-4</v>
          </cell>
        </row>
        <row r="536">
          <cell r="A536" t="str">
            <v>ITOT-SWHCONBR10</v>
          </cell>
          <cell r="B536" t="str">
            <v>VAR_fin</v>
          </cell>
          <cell r="C536" t="str">
            <v>CON</v>
          </cell>
          <cell r="J536">
            <v>3.9126777082022806E-4</v>
          </cell>
        </row>
        <row r="537">
          <cell r="A537" t="str">
            <v>ITOT-SWHCONBR10</v>
          </cell>
          <cell r="B537" t="str">
            <v>VAR_ncap</v>
          </cell>
          <cell r="C537" t="str">
            <v>-</v>
          </cell>
          <cell r="J537">
            <v>1.9465925448114E-5</v>
          </cell>
        </row>
        <row r="538">
          <cell r="A538" t="str">
            <v>ITOT-SWHCONBR10</v>
          </cell>
          <cell r="B538" t="str">
            <v>VAR_cap</v>
          </cell>
          <cell r="C538" t="str">
            <v>-</v>
          </cell>
          <cell r="J538">
            <v>1.9465925448114E-5</v>
          </cell>
        </row>
        <row r="539">
          <cell r="A539" t="str">
            <v>SCOM-SHSTG</v>
          </cell>
          <cell r="B539" t="str">
            <v>VAR_fout</v>
          </cell>
          <cell r="C539" t="str">
            <v>AUX_SCOM-SHSTG_OUT</v>
          </cell>
          <cell r="H539">
            <v>7.4137732305254575E-5</v>
          </cell>
          <cell r="I539">
            <v>9.6003711674678006E-5</v>
          </cell>
          <cell r="J539">
            <v>2.6124542380286356E-3</v>
          </cell>
        </row>
        <row r="540">
          <cell r="A540" t="str">
            <v>SCOM-SHSTG</v>
          </cell>
          <cell r="B540" t="str">
            <v>VAR_fout</v>
          </cell>
          <cell r="C540" t="str">
            <v>SCOM-SHD</v>
          </cell>
          <cell r="H540">
            <v>7.4220199193247025E-5</v>
          </cell>
          <cell r="I540">
            <v>9.6003711674677925E-5</v>
          </cell>
          <cell r="J540">
            <v>2.6124542380286356E-3</v>
          </cell>
        </row>
        <row r="541">
          <cell r="A541" t="str">
            <v>SCOM-SHSTG</v>
          </cell>
          <cell r="B541" t="str">
            <v>VAR_fin</v>
          </cell>
          <cell r="C541" t="str">
            <v>AUX_SCOM-SHSTG_IN</v>
          </cell>
          <cell r="H541">
            <v>8.3998280536193415E-5</v>
          </cell>
          <cell r="I541">
            <v>1.0455057862678245E-4</v>
          </cell>
          <cell r="J541">
            <v>2.6398226821071533E-3</v>
          </cell>
        </row>
        <row r="542">
          <cell r="A542" t="str">
            <v>SCOM-SHSTG</v>
          </cell>
          <cell r="B542" t="str">
            <v>VAR_fin</v>
          </cell>
          <cell r="C542" t="str">
            <v>SCOM-SHD</v>
          </cell>
          <cell r="H542">
            <v>8.3998280536193415E-5</v>
          </cell>
          <cell r="I542">
            <v>1.0455057862678245E-4</v>
          </cell>
          <cell r="J542">
            <v>2.6398226821071533E-3</v>
          </cell>
        </row>
        <row r="543">
          <cell r="A543" t="str">
            <v>SCOM-SHSTG</v>
          </cell>
          <cell r="B543" t="str">
            <v>VAR_ncap</v>
          </cell>
          <cell r="C543" t="str">
            <v>-</v>
          </cell>
          <cell r="H543">
            <v>3.49987439804523E-4</v>
          </cell>
          <cell r="I543">
            <v>6.9847856719484696E-4</v>
          </cell>
          <cell r="J543">
            <v>7.6951948363986999E-4</v>
          </cell>
        </row>
        <row r="544">
          <cell r="A544" t="str">
            <v>SCOM-SHSTG</v>
          </cell>
          <cell r="B544" t="str">
            <v>VAR_cap</v>
          </cell>
          <cell r="C544" t="str">
            <v>-</v>
          </cell>
          <cell r="H544">
            <v>1.7965652959931716E-3</v>
          </cell>
          <cell r="I544">
            <v>1.5518555719498067E-3</v>
          </cell>
          <cell r="J544">
            <v>1.7370324284938917E-3</v>
          </cell>
        </row>
        <row r="545">
          <cell r="A545" t="str">
            <v>D-ITOT_KEV_HFC_ELC_CHP</v>
          </cell>
          <cell r="B545" t="str">
            <v>VAR_fout</v>
          </cell>
          <cell r="C545" t="str">
            <v>ITOT_ELC</v>
          </cell>
          <cell r="H545">
            <v>1.0400921317835292E-2</v>
          </cell>
          <cell r="I545">
            <v>0.13162430886727811</v>
          </cell>
          <cell r="J545">
            <v>0.19342306830640216</v>
          </cell>
        </row>
        <row r="546">
          <cell r="A546" t="str">
            <v>D-ITOT_KEV_HFC_ELC_CHP</v>
          </cell>
          <cell r="B546" t="str">
            <v>VAR_fout</v>
          </cell>
          <cell r="C546" t="str">
            <v>ELC5</v>
          </cell>
          <cell r="H546">
            <v>3.7249012692674227E-3</v>
          </cell>
          <cell r="I546">
            <v>2.2046336446210429E-2</v>
          </cell>
          <cell r="J546">
            <v>1.8840938878867591E-2</v>
          </cell>
        </row>
        <row r="547">
          <cell r="A547" t="str">
            <v>D-ITOT_KEV_HFC_ELC_CHP</v>
          </cell>
          <cell r="B547" t="str">
            <v>VAR_fin</v>
          </cell>
          <cell r="C547" t="str">
            <v>ITOT_KEV_HFC_ELC_CHP</v>
          </cell>
          <cell r="H547">
            <v>1.4092050031329552E-2</v>
          </cell>
          <cell r="I547">
            <v>0.1536474462751766</v>
          </cell>
          <cell r="J547">
            <v>0.21224712314715927</v>
          </cell>
        </row>
        <row r="548">
          <cell r="A548" t="str">
            <v>D-RNGA</v>
          </cell>
          <cell r="B548" t="str">
            <v>VAR_fout</v>
          </cell>
          <cell r="C548" t="str">
            <v>CO2</v>
          </cell>
          <cell r="H548">
            <v>1684.2005233356001</v>
          </cell>
          <cell r="I548">
            <v>1024.0639060777301</v>
          </cell>
          <cell r="J548">
            <v>626.42883454590196</v>
          </cell>
        </row>
        <row r="549">
          <cell r="A549" t="str">
            <v>D-RNGA</v>
          </cell>
          <cell r="B549" t="str">
            <v>VAR_fout</v>
          </cell>
          <cell r="C549" t="str">
            <v>RNGA</v>
          </cell>
          <cell r="H549">
            <v>30.694444427352025</v>
          </cell>
          <cell r="I549">
            <v>22.148332288863628</v>
          </cell>
          <cell r="J549">
            <v>15.210140615551424</v>
          </cell>
        </row>
        <row r="550">
          <cell r="A550" t="str">
            <v>D-RNGA</v>
          </cell>
          <cell r="B550" t="str">
            <v>VAR_fout</v>
          </cell>
          <cell r="C550" t="str">
            <v>RSH2</v>
          </cell>
          <cell r="H550">
            <v>8.8290602897651092E-3</v>
          </cell>
          <cell r="I550">
            <v>1.4018382442630569E-2</v>
          </cell>
          <cell r="J550">
            <v>1.8257730251446929E-2</v>
          </cell>
        </row>
        <row r="551">
          <cell r="A551" t="str">
            <v>D-RNGA</v>
          </cell>
          <cell r="B551" t="str">
            <v>VAR_fin</v>
          </cell>
          <cell r="C551" t="str">
            <v>NGA</v>
          </cell>
          <cell r="H551">
            <v>29.861711406659555</v>
          </cell>
          <cell r="I551">
            <v>18.157161455278818</v>
          </cell>
          <cell r="J551">
            <v>11.106894229537261</v>
          </cell>
        </row>
        <row r="552">
          <cell r="A552" t="str">
            <v>D-RNGA</v>
          </cell>
          <cell r="B552" t="str">
            <v>VAR_fin</v>
          </cell>
          <cell r="C552" t="str">
            <v>BNGA</v>
          </cell>
          <cell r="H552">
            <v>0.93085421817048108</v>
          </cell>
          <cell r="I552">
            <v>4.0619968957623582</v>
          </cell>
          <cell r="J552">
            <v>4.1521153231965195</v>
          </cell>
        </row>
        <row r="553">
          <cell r="A553" t="str">
            <v>D-RNGA</v>
          </cell>
          <cell r="B553" t="str">
            <v>VAR_fin</v>
          </cell>
          <cell r="C553" t="str">
            <v>H2</v>
          </cell>
          <cell r="H553">
            <v>8.8255088276487422E-3</v>
          </cell>
          <cell r="I553">
            <v>1.4015798024678448E-2</v>
          </cell>
          <cell r="J553">
            <v>1.825134179455979E-2</v>
          </cell>
        </row>
        <row r="554">
          <cell r="A554" t="str">
            <v>D-RNGA</v>
          </cell>
          <cell r="B554" t="str">
            <v>VAR_ncap</v>
          </cell>
          <cell r="C554" t="str">
            <v>-</v>
          </cell>
          <cell r="H554">
            <v>2.9782252756595699E-7</v>
          </cell>
          <cell r="I554">
            <v>3.7639837320914401E-7</v>
          </cell>
          <cell r="J554">
            <v>6.4722718670849104E-7</v>
          </cell>
        </row>
        <row r="555">
          <cell r="A555" t="str">
            <v>D-RNGA</v>
          </cell>
          <cell r="B555" t="str">
            <v>VAR_cap</v>
          </cell>
          <cell r="C555" t="str">
            <v>-</v>
          </cell>
          <cell r="H555">
            <v>3.0972414346439878</v>
          </cell>
          <cell r="I555">
            <v>3.0972418110423612</v>
          </cell>
          <cell r="J555">
            <v>1.5532846989098479</v>
          </cell>
        </row>
        <row r="556">
          <cell r="A556" t="str">
            <v>RHNS-SHLTHCHPNGA</v>
          </cell>
          <cell r="B556" t="str">
            <v>VAR_fout</v>
          </cell>
          <cell r="C556" t="str">
            <v>RHNS-SHLTHC-NGA</v>
          </cell>
        </row>
        <row r="557">
          <cell r="A557" t="str">
            <v>RHNS-SHLTHCHPNGA</v>
          </cell>
          <cell r="B557" t="str">
            <v>VAR_fin</v>
          </cell>
          <cell r="C557" t="str">
            <v>RHNSLTHCHPC</v>
          </cell>
        </row>
        <row r="558">
          <cell r="A558" t="str">
            <v>RHNS-SHLTHCHPNGA</v>
          </cell>
          <cell r="B558" t="str">
            <v>VAR_fin</v>
          </cell>
          <cell r="C558" t="str">
            <v>RHNS_LTH_CHPNGA_ON</v>
          </cell>
        </row>
        <row r="559">
          <cell r="A559" t="str">
            <v>RHNS-SHLTHCHPNGA</v>
          </cell>
          <cell r="B559" t="str">
            <v>VAR_ncap</v>
          </cell>
          <cell r="C559" t="str">
            <v>-</v>
          </cell>
          <cell r="H559">
            <v>1.9598051402965199E-4</v>
          </cell>
          <cell r="I559">
            <v>8.0740972927755805E-5</v>
          </cell>
          <cell r="J559">
            <v>5.0428680224576702E-8</v>
          </cell>
        </row>
        <row r="560">
          <cell r="A560" t="str">
            <v>RHNS-SHLTHCHPNGA</v>
          </cell>
          <cell r="B560" t="str">
            <v>VAR_cap</v>
          </cell>
          <cell r="C560" t="str">
            <v>-</v>
          </cell>
          <cell r="H560">
            <v>3.4840102727559902E-4</v>
          </cell>
          <cell r="I560">
            <v>1.6045746427777603E-4</v>
          </cell>
        </row>
        <row r="561">
          <cell r="A561" t="str">
            <v>D-SCOM_KEV_BIO_ELC_CHP</v>
          </cell>
          <cell r="B561" t="str">
            <v>VAR_fout</v>
          </cell>
          <cell r="C561" t="str">
            <v>ELC5</v>
          </cell>
          <cell r="H561">
            <v>2.7859029195597402E-3</v>
          </cell>
          <cell r="I561">
            <v>2.6665988054966326E-3</v>
          </cell>
          <cell r="J561">
            <v>1.5065864291023984E-3</v>
          </cell>
        </row>
        <row r="562">
          <cell r="A562" t="str">
            <v>D-SCOM_KEV_BIO_ELC_CHP</v>
          </cell>
          <cell r="B562" t="str">
            <v>VAR_fout</v>
          </cell>
          <cell r="C562" t="str">
            <v>SCOM_ELC</v>
          </cell>
          <cell r="H562">
            <v>1.1032462136826777</v>
          </cell>
          <cell r="I562">
            <v>1.1033570815906255</v>
          </cell>
          <cell r="J562">
            <v>1.1045112088039066</v>
          </cell>
        </row>
        <row r="563">
          <cell r="A563" t="str">
            <v>D-SCOM_KEV_BIO_ELC_CHP</v>
          </cell>
          <cell r="B563" t="str">
            <v>VAR_fin</v>
          </cell>
          <cell r="C563" t="str">
            <v>SCOM_KEV_BIO_ELC_CHP</v>
          </cell>
          <cell r="H563">
            <v>1.1059987383196199</v>
          </cell>
          <cell r="I563">
            <v>1.105995881450222</v>
          </cell>
          <cell r="J563">
            <v>1.10599669949816</v>
          </cell>
        </row>
        <row r="564">
          <cell r="A564" t="str">
            <v>RHES-SHLTHCHPWOD</v>
          </cell>
          <cell r="B564" t="str">
            <v>VAR_ncap</v>
          </cell>
          <cell r="C564" t="str">
            <v>-</v>
          </cell>
          <cell r="H564">
            <v>3.3452255922578202E-4</v>
          </cell>
          <cell r="I564">
            <v>2.4744900897891398E-4</v>
          </cell>
          <cell r="J564">
            <v>8.0058308515035294E-5</v>
          </cell>
        </row>
        <row r="565">
          <cell r="A565" t="str">
            <v>RHES-SHLTHCHPWOD</v>
          </cell>
          <cell r="B565" t="str">
            <v>VAR_cap</v>
          </cell>
          <cell r="C565" t="str">
            <v>-</v>
          </cell>
          <cell r="H565">
            <v>4.2413247192147767E-4</v>
          </cell>
          <cell r="I565">
            <v>4.2662241728113698E-4</v>
          </cell>
          <cell r="J565">
            <v>1.54566355283465E-4</v>
          </cell>
        </row>
        <row r="566">
          <cell r="A566" t="str">
            <v>RHES-SHSTG-NGAHP</v>
          </cell>
          <cell r="B566" t="str">
            <v>VAR_fout</v>
          </cell>
          <cell r="C566" t="str">
            <v>RHES-SHANGAH</v>
          </cell>
          <cell r="H566">
            <v>0.52036261435262288</v>
          </cell>
          <cell r="I566">
            <v>0.69631947351822376</v>
          </cell>
          <cell r="J566">
            <v>0.67604171948067004</v>
          </cell>
        </row>
        <row r="567">
          <cell r="A567" t="str">
            <v>RHES-SHSTG-NGAHP</v>
          </cell>
          <cell r="B567" t="str">
            <v>VAR_fout</v>
          </cell>
          <cell r="C567" t="str">
            <v>AUX_RHES-SHSTG-NGAHP_OUT</v>
          </cell>
          <cell r="H567">
            <v>0.52088297696697528</v>
          </cell>
          <cell r="I567">
            <v>0.69701579299174155</v>
          </cell>
          <cell r="J567">
            <v>0.67671776120015037</v>
          </cell>
        </row>
        <row r="568">
          <cell r="A568" t="str">
            <v>RHES-SHSTG-NGAHP</v>
          </cell>
          <cell r="B568" t="str">
            <v>VAR_fin</v>
          </cell>
          <cell r="C568" t="str">
            <v>RHES-SHANGAH</v>
          </cell>
          <cell r="H568">
            <v>0.5204015454094183</v>
          </cell>
          <cell r="I568">
            <v>0.69634181463424849</v>
          </cell>
          <cell r="J568">
            <v>0.67607241399610363</v>
          </cell>
        </row>
        <row r="569">
          <cell r="A569" t="str">
            <v>RHES-SHSTG-NGAHP</v>
          </cell>
          <cell r="B569" t="str">
            <v>VAR_ncap</v>
          </cell>
          <cell r="C569" t="str">
            <v>-</v>
          </cell>
          <cell r="H569">
            <v>1.6159612561792901E-2</v>
          </cell>
          <cell r="I569">
            <v>5.7999736028702002E-2</v>
          </cell>
          <cell r="J569">
            <v>5.6225972249658897E-2</v>
          </cell>
        </row>
        <row r="570">
          <cell r="A570" t="str">
            <v>RHES-SHSTG-NGAHP</v>
          </cell>
          <cell r="B570" t="str">
            <v>VAR_cap</v>
          </cell>
          <cell r="C570" t="str">
            <v>-</v>
          </cell>
          <cell r="H570">
            <v>9.4482001486721937E-2</v>
          </cell>
          <cell r="I570">
            <v>0.11128249548079606</v>
          </cell>
          <cell r="J570">
            <v>0.10507283209468174</v>
          </cell>
        </row>
        <row r="571">
          <cell r="A571" t="str">
            <v>D-RHNS_SOLELC</v>
          </cell>
          <cell r="B571" t="str">
            <v>VAR_fout</v>
          </cell>
          <cell r="C571" t="str">
            <v>RHNS_ELC</v>
          </cell>
          <cell r="H571">
            <v>7.1875340506972849</v>
          </cell>
          <cell r="I571">
            <v>7.4030822298369054</v>
          </cell>
          <cell r="J571">
            <v>7.9363919324087133</v>
          </cell>
        </row>
        <row r="572">
          <cell r="A572" t="str">
            <v>D-RHNS_SOLELC</v>
          </cell>
          <cell r="B572" t="str">
            <v>VAR_fout</v>
          </cell>
          <cell r="C572" t="str">
            <v>ELC5</v>
          </cell>
          <cell r="H572">
            <v>2.3717452992797453E-3</v>
          </cell>
          <cell r="I572">
            <v>0.10482811628506572</v>
          </cell>
          <cell r="J572">
            <v>0.10089730961077639</v>
          </cell>
        </row>
        <row r="573">
          <cell r="A573" t="str">
            <v>D-RHNS_SOLELC</v>
          </cell>
          <cell r="B573" t="str">
            <v>VAR_fin</v>
          </cell>
          <cell r="C573" t="str">
            <v>RHNS_SOL_ELC</v>
          </cell>
          <cell r="H573">
            <v>7.1899057959965704</v>
          </cell>
          <cell r="I573">
            <v>7.5079103461219772</v>
          </cell>
          <cell r="J573">
            <v>8.0372892420194884</v>
          </cell>
        </row>
        <row r="574">
          <cell r="A574" t="str">
            <v>D-IHFO</v>
          </cell>
          <cell r="B574" t="str">
            <v>VAR_fout</v>
          </cell>
          <cell r="C574" t="str">
            <v>CO2</v>
          </cell>
          <cell r="H574">
            <v>0.73142805556310697</v>
          </cell>
          <cell r="I574">
            <v>4.9170376601572398E-2</v>
          </cell>
        </row>
        <row r="575">
          <cell r="A575" t="str">
            <v>D-IHFO</v>
          </cell>
          <cell r="B575" t="str">
            <v>VAR_fout</v>
          </cell>
          <cell r="C575" t="str">
            <v>IHFO</v>
          </cell>
          <cell r="H575">
            <v>9.3404201900299001E-3</v>
          </cell>
          <cell r="I575">
            <v>6.2791135077136105E-4</v>
          </cell>
        </row>
        <row r="576">
          <cell r="A576" t="str">
            <v>D-IHFO</v>
          </cell>
          <cell r="B576" t="str">
            <v>VAR_fin</v>
          </cell>
          <cell r="C576" t="str">
            <v>HFO</v>
          </cell>
          <cell r="H576">
            <v>9.4990656566637174E-3</v>
          </cell>
          <cell r="I576">
            <v>6.3857631950093999E-4</v>
          </cell>
        </row>
        <row r="577">
          <cell r="A577" t="str">
            <v>RHEM-SHCONBR</v>
          </cell>
          <cell r="B577" t="str">
            <v>VAR_fout</v>
          </cell>
          <cell r="C577" t="str">
            <v>RHEM-SHCON</v>
          </cell>
          <cell r="H577">
            <v>7.2897000409925675E-4</v>
          </cell>
          <cell r="I577">
            <v>7.5543854555928198E-4</v>
          </cell>
          <cell r="J577">
            <v>2.3901215542558199E-3</v>
          </cell>
        </row>
        <row r="578">
          <cell r="A578" t="str">
            <v>RHEM-SHCONBR</v>
          </cell>
          <cell r="B578" t="str">
            <v>VAR_fin</v>
          </cell>
          <cell r="C578" t="str">
            <v>CON</v>
          </cell>
          <cell r="H578">
            <v>7.2897000409925675E-4</v>
          </cell>
          <cell r="I578">
            <v>7.5543854555928198E-4</v>
          </cell>
          <cell r="J578">
            <v>2.3901215542558199E-3</v>
          </cell>
        </row>
        <row r="579">
          <cell r="A579" t="str">
            <v>RHEM-SHCONBR</v>
          </cell>
          <cell r="B579" t="str">
            <v>VAR_ncap</v>
          </cell>
          <cell r="C579" t="str">
            <v>-</v>
          </cell>
          <cell r="H579">
            <v>2.94999402042459E-5</v>
          </cell>
          <cell r="I579">
            <v>1.8815264370213399E-6</v>
          </cell>
          <cell r="J579">
            <v>1.14000944712823E-4</v>
          </cell>
        </row>
        <row r="580">
          <cell r="A580" t="str">
            <v>RHEM-SHCONBR</v>
          </cell>
          <cell r="B580" t="str">
            <v>VAR_cap</v>
          </cell>
          <cell r="C580" t="str">
            <v>-</v>
          </cell>
          <cell r="H580">
            <v>5.374743181802826E-5</v>
          </cell>
          <cell r="I580">
            <v>5.5606240224521633E-5</v>
          </cell>
          <cell r="J580">
            <v>1.6979747128699059E-4</v>
          </cell>
        </row>
        <row r="581">
          <cell r="A581" t="str">
            <v>RHEM-SHSOLBR</v>
          </cell>
          <cell r="B581" t="str">
            <v>VAR_fout</v>
          </cell>
          <cell r="C581" t="str">
            <v>RHEM-SHASOL</v>
          </cell>
          <cell r="H581">
            <v>1.1717452316662243E-2</v>
          </cell>
          <cell r="I581">
            <v>1.1347557547671619E-2</v>
          </cell>
          <cell r="J581">
            <v>9.5384360969142431E-3</v>
          </cell>
        </row>
        <row r="582">
          <cell r="A582" t="str">
            <v>RHEM-SHSOLBR</v>
          </cell>
          <cell r="B582" t="str">
            <v>VAR_fin</v>
          </cell>
          <cell r="C582" t="str">
            <v>SOL</v>
          </cell>
          <cell r="H582">
            <v>1.1717452316662243E-2</v>
          </cell>
          <cell r="I582">
            <v>1.1347557547671619E-2</v>
          </cell>
          <cell r="J582">
            <v>9.5384360969142431E-3</v>
          </cell>
        </row>
        <row r="583">
          <cell r="A583" t="str">
            <v>RHEM-SHSOLBR</v>
          </cell>
          <cell r="B583" t="str">
            <v>VAR_ncap</v>
          </cell>
          <cell r="C583" t="str">
            <v>-</v>
          </cell>
          <cell r="H583">
            <v>4.1494529996106897E-6</v>
          </cell>
          <cell r="I583">
            <v>1.8445301335859199E-3</v>
          </cell>
          <cell r="J583">
            <v>1.7142313483447901E-4</v>
          </cell>
        </row>
        <row r="584">
          <cell r="A584" t="str">
            <v>RHEM-SHSOLBR</v>
          </cell>
          <cell r="B584" t="str">
            <v>VAR_cap</v>
          </cell>
          <cell r="C584" t="str">
            <v>-</v>
          </cell>
          <cell r="H584">
            <v>1.9522921709471897E-2</v>
          </cell>
          <cell r="I584">
            <v>1.8486206669232901E-3</v>
          </cell>
          <cell r="J584">
            <v>1.5113964287341839E-3</v>
          </cell>
        </row>
        <row r="585">
          <cell r="A585" t="str">
            <v>SCOM-SHH2BR</v>
          </cell>
          <cell r="B585" t="str">
            <v>VAR_ncap</v>
          </cell>
          <cell r="C585" t="str">
            <v>-</v>
          </cell>
          <cell r="H585">
            <v>0.31542218264531702</v>
          </cell>
          <cell r="I585">
            <v>0.70768192362709803</v>
          </cell>
          <cell r="J585">
            <v>0.39821486912338799</v>
          </cell>
        </row>
        <row r="586">
          <cell r="A586" t="str">
            <v>SCOM-SHH2BR</v>
          </cell>
          <cell r="B586" t="str">
            <v>VAR_cap</v>
          </cell>
          <cell r="C586" t="str">
            <v>-</v>
          </cell>
          <cell r="H586">
            <v>0.31542174164833298</v>
          </cell>
          <cell r="I586">
            <v>1.0231020498150893</v>
          </cell>
          <cell r="J586">
            <v>1.0452229362533498</v>
          </cell>
        </row>
        <row r="587">
          <cell r="A587" t="str">
            <v>ITOT-SWHCONBR1</v>
          </cell>
          <cell r="B587" t="str">
            <v>VAR_fout</v>
          </cell>
          <cell r="C587" t="str">
            <v>ITOT-ELS</v>
          </cell>
          <cell r="H587">
            <v>0.3824493963211788</v>
          </cell>
          <cell r="I587">
            <v>0.9698590718442196</v>
          </cell>
          <cell r="J587">
            <v>0.96986014292744127</v>
          </cell>
        </row>
        <row r="588">
          <cell r="A588" t="str">
            <v>ITOT-SWHCONBR1</v>
          </cell>
          <cell r="B588" t="str">
            <v>VAR_fout</v>
          </cell>
          <cell r="C588" t="str">
            <v>ITOT-SWHC</v>
          </cell>
          <cell r="H588">
            <v>1.818107300142894</v>
          </cell>
          <cell r="I588">
            <v>4.6105651508179415</v>
          </cell>
          <cell r="J588">
            <v>4.6105702425875839</v>
          </cell>
        </row>
        <row r="589">
          <cell r="A589" t="str">
            <v>ITOT-SWHCONBR1</v>
          </cell>
          <cell r="B589" t="str">
            <v>VAR_fin</v>
          </cell>
          <cell r="C589" t="str">
            <v>CON</v>
          </cell>
          <cell r="H589">
            <v>2.2005566964640719</v>
          </cell>
          <cell r="I589">
            <v>5.5804242226621614</v>
          </cell>
          <cell r="J589">
            <v>5.5804303855150286</v>
          </cell>
        </row>
        <row r="590">
          <cell r="A590" t="str">
            <v>ITOT-SWHCONBR1</v>
          </cell>
          <cell r="B590" t="str">
            <v>VAR_ncap</v>
          </cell>
          <cell r="C590" t="str">
            <v>-</v>
          </cell>
          <cell r="H590">
            <v>5.5291212885609398E-2</v>
          </cell>
          <cell r="I590">
            <v>0.243919100636733</v>
          </cell>
          <cell r="J590">
            <v>0.103129911921017</v>
          </cell>
        </row>
        <row r="591">
          <cell r="A591" t="str">
            <v>ITOT-SWHCONBR1</v>
          </cell>
          <cell r="B591" t="str">
            <v>VAR_cap</v>
          </cell>
          <cell r="C591" t="str">
            <v>-</v>
          </cell>
          <cell r="H591">
            <v>0.119685947786765</v>
          </cell>
          <cell r="I591">
            <v>0.30353802140727398</v>
          </cell>
          <cell r="J591">
            <v>0.30353806768361402</v>
          </cell>
        </row>
        <row r="592">
          <cell r="A592" t="str">
            <v>SCOM-SHLTHCHPWOD</v>
          </cell>
          <cell r="B592" t="str">
            <v>VAR_ncap</v>
          </cell>
          <cell r="C592" t="str">
            <v>-</v>
          </cell>
          <cell r="H592">
            <v>3.9975993867861598E-4</v>
          </cell>
          <cell r="I592">
            <v>2.5300819612022102E-4</v>
          </cell>
          <cell r="J592">
            <v>8.6950531719331596E-5</v>
          </cell>
        </row>
        <row r="593">
          <cell r="A593" t="str">
            <v>SCOM-SHLTHCHPWOD</v>
          </cell>
          <cell r="B593" t="str">
            <v>VAR_cap</v>
          </cell>
          <cell r="C593" t="str">
            <v>-</v>
          </cell>
          <cell r="H593">
            <v>4.9735109277112091E-4</v>
          </cell>
          <cell r="I593">
            <v>4.0012659253667202E-4</v>
          </cell>
          <cell r="J593">
            <v>1.5801076661951802E-4</v>
          </cell>
        </row>
        <row r="594">
          <cell r="A594" t="str">
            <v>SCOM-SHSTG-NGAHP</v>
          </cell>
          <cell r="B594" t="str">
            <v>VAR_fout</v>
          </cell>
          <cell r="C594" t="str">
            <v>SCOM-SHANGAH</v>
          </cell>
          <cell r="H594">
            <v>3.923583456062771E-5</v>
          </cell>
          <cell r="I594">
            <v>4.5758145030924591E-5</v>
          </cell>
          <cell r="J594">
            <v>2.1066434253687809E-5</v>
          </cell>
        </row>
        <row r="595">
          <cell r="A595" t="str">
            <v>SCOM-SHSTG-NGAHP</v>
          </cell>
          <cell r="B595" t="str">
            <v>VAR_fin</v>
          </cell>
          <cell r="C595" t="str">
            <v>SCOM-SHANGAH</v>
          </cell>
          <cell r="H595">
            <v>4.6552741601596238E-5</v>
          </cell>
          <cell r="I595">
            <v>4.1792974995770801E-5</v>
          </cell>
          <cell r="J595">
            <v>1.8312408310903954E-5</v>
          </cell>
        </row>
        <row r="596">
          <cell r="A596" t="str">
            <v>SCOM-SHSTG-NGAHP</v>
          </cell>
          <cell r="B596" t="str">
            <v>VAR_ncap</v>
          </cell>
          <cell r="C596" t="str">
            <v>-</v>
          </cell>
          <cell r="H596">
            <v>3.4610286912857599E-2</v>
          </cell>
          <cell r="I596">
            <v>0.10331771410902101</v>
          </cell>
          <cell r="J596">
            <v>0.11863455676345799</v>
          </cell>
        </row>
        <row r="597">
          <cell r="A597" t="str">
            <v>SCOM-SHSTG-NGAHP</v>
          </cell>
          <cell r="B597" t="str">
            <v>VAR_cap</v>
          </cell>
          <cell r="C597" t="str">
            <v>-</v>
          </cell>
          <cell r="H597">
            <v>0.1549338633538703</v>
          </cell>
          <cell r="I597">
            <v>0.19817466736863104</v>
          </cell>
          <cell r="J597">
            <v>0.20812485644632792</v>
          </cell>
        </row>
        <row r="598">
          <cell r="A598" t="str">
            <v>ITOT-SWHCONBR2</v>
          </cell>
          <cell r="B598" t="str">
            <v>VAR_fout</v>
          </cell>
          <cell r="C598" t="str">
            <v>ITOT-ELS</v>
          </cell>
          <cell r="H598">
            <v>3.6232042871893479E-3</v>
          </cell>
          <cell r="I598">
            <v>0.87999625723855346</v>
          </cell>
          <cell r="J598">
            <v>0.8799933064432589</v>
          </cell>
        </row>
        <row r="599">
          <cell r="A599" t="str">
            <v>ITOT-SWHCONBR2</v>
          </cell>
          <cell r="B599" t="str">
            <v>VAR_fout</v>
          </cell>
          <cell r="C599" t="str">
            <v>ITOT-SWHC</v>
          </cell>
          <cell r="H599">
            <v>5.6007804504527477E-3</v>
          </cell>
          <cell r="I599">
            <v>1.3603058076078371</v>
          </cell>
          <cell r="J599">
            <v>1.3603012462430095</v>
          </cell>
        </row>
        <row r="600">
          <cell r="A600" t="str">
            <v>ITOT-SWHCONBR2</v>
          </cell>
          <cell r="B600" t="str">
            <v>VAR_fin</v>
          </cell>
          <cell r="C600" t="str">
            <v>CON</v>
          </cell>
          <cell r="H600">
            <v>9.2239847376421012E-3</v>
          </cell>
          <cell r="I600">
            <v>2.2403020648463903</v>
          </cell>
          <cell r="J600">
            <v>2.2402945526862692</v>
          </cell>
        </row>
        <row r="601">
          <cell r="A601" t="str">
            <v>ITOT-SWHCONBR2</v>
          </cell>
          <cell r="B601" t="str">
            <v>VAR_ncap</v>
          </cell>
          <cell r="C601" t="str">
            <v>-</v>
          </cell>
          <cell r="H601">
            <v>4.5733306232708499E-4</v>
          </cell>
          <cell r="I601">
            <v>0.12136986692419</v>
          </cell>
          <cell r="J601">
            <v>3.3580958932693097E-2</v>
          </cell>
        </row>
        <row r="602">
          <cell r="A602" t="str">
            <v>ITOT-SWHCONBR2</v>
          </cell>
          <cell r="B602" t="str">
            <v>VAR_cap</v>
          </cell>
          <cell r="C602" t="str">
            <v>-</v>
          </cell>
          <cell r="H602">
            <v>5.0067733421249605E-4</v>
          </cell>
          <cell r="I602">
            <v>0.121856803530817</v>
          </cell>
          <cell r="J602">
            <v>0.121856589587161</v>
          </cell>
        </row>
        <row r="603">
          <cell r="A603" t="str">
            <v>RHES-SHCONBR1</v>
          </cell>
          <cell r="B603" t="str">
            <v>VAR_fout</v>
          </cell>
          <cell r="C603" t="str">
            <v>RHES-SHCON</v>
          </cell>
          <cell r="H603">
            <v>4.2622721896292246</v>
          </cell>
          <cell r="I603">
            <v>4.8299559452245182</v>
          </cell>
          <cell r="J603">
            <v>6.4142544284213576</v>
          </cell>
        </row>
        <row r="604">
          <cell r="A604" t="str">
            <v>RHES-SHCONBR1</v>
          </cell>
          <cell r="B604" t="str">
            <v>VAR_fin</v>
          </cell>
          <cell r="C604" t="str">
            <v>CON</v>
          </cell>
          <cell r="H604">
            <v>4.2622721896292246</v>
          </cell>
          <cell r="I604">
            <v>4.8299559452245182</v>
          </cell>
          <cell r="J604">
            <v>6.4142544284213576</v>
          </cell>
        </row>
        <row r="605">
          <cell r="A605" t="str">
            <v>RHES-SHCONBR1</v>
          </cell>
          <cell r="B605" t="str">
            <v>VAR_ncap</v>
          </cell>
          <cell r="C605" t="str">
            <v>-</v>
          </cell>
          <cell r="H605">
            <v>0.128765357886924</v>
          </cell>
          <cell r="I605">
            <v>4.5855940937156302E-2</v>
          </cell>
          <cell r="J605">
            <v>0.169898394669146</v>
          </cell>
        </row>
        <row r="606">
          <cell r="A606" t="str">
            <v>RHES-SHCONBR1</v>
          </cell>
          <cell r="B606" t="str">
            <v>VAR_cap</v>
          </cell>
          <cell r="C606" t="str">
            <v>-</v>
          </cell>
          <cell r="H606">
            <v>0.34437736546866216</v>
          </cell>
          <cell r="I606">
            <v>0.39023360221358244</v>
          </cell>
          <cell r="J606">
            <v>0.51820822383427989</v>
          </cell>
        </row>
        <row r="607">
          <cell r="A607" t="str">
            <v>ITOT-SWHCONBR3</v>
          </cell>
          <cell r="B607" t="str">
            <v>VAR_fout</v>
          </cell>
          <cell r="C607" t="str">
            <v>ITOT-ELS</v>
          </cell>
          <cell r="H607">
            <v>8.4472599091234139E-4</v>
          </cell>
          <cell r="I607">
            <v>2.2995809538537491</v>
          </cell>
          <cell r="J607">
            <v>2.299578921580375</v>
          </cell>
        </row>
        <row r="608">
          <cell r="A608" t="str">
            <v>ITOT-SWHCONBR3</v>
          </cell>
          <cell r="B608" t="str">
            <v>VAR_fout</v>
          </cell>
          <cell r="C608" t="str">
            <v>ITOT-SWHC</v>
          </cell>
          <cell r="H608">
            <v>1.6764066473927363E-3</v>
          </cell>
          <cell r="I608">
            <v>4.563648850314828</v>
          </cell>
          <cell r="J608">
            <v>4.563644817153035</v>
          </cell>
        </row>
        <row r="609">
          <cell r="A609" t="str">
            <v>ITOT-SWHCONBR3</v>
          </cell>
          <cell r="B609" t="str">
            <v>VAR_fin</v>
          </cell>
          <cell r="C609" t="str">
            <v>CON</v>
          </cell>
          <cell r="H609">
            <v>2.5211326383050765E-3</v>
          </cell>
          <cell r="I609">
            <v>6.8632298041685837</v>
          </cell>
          <cell r="J609">
            <v>6.8632237387334101</v>
          </cell>
        </row>
        <row r="610">
          <cell r="A610" t="str">
            <v>ITOT-SWHCONBR3</v>
          </cell>
          <cell r="B610" t="str">
            <v>VAR_ncap</v>
          </cell>
          <cell r="C610" t="str">
            <v>-</v>
          </cell>
          <cell r="H610">
            <v>9.6011557227193694E-5</v>
          </cell>
          <cell r="I610">
            <v>0.37318950912423798</v>
          </cell>
          <cell r="J610">
            <v>0.10243599554237399</v>
          </cell>
        </row>
        <row r="611">
          <cell r="A611" t="str">
            <v>ITOT-SWHCONBR3</v>
          </cell>
          <cell r="B611" t="str">
            <v>VAR_cap</v>
          </cell>
          <cell r="C611" t="str">
            <v>-</v>
          </cell>
          <cell r="H611">
            <v>1.3565603994867E-4</v>
          </cell>
          <cell r="I611">
            <v>0.37331259732041699</v>
          </cell>
          <cell r="J611">
            <v>0.37331274544773602</v>
          </cell>
        </row>
        <row r="612">
          <cell r="A612" t="str">
            <v>ITOT-ELCSPECADV</v>
          </cell>
          <cell r="B612" t="str">
            <v>VAR_fout</v>
          </cell>
          <cell r="C612" t="str">
            <v>ITOT-ELS</v>
          </cell>
          <cell r="H612">
            <v>2.2912359847829127E-3</v>
          </cell>
          <cell r="I612">
            <v>1.8748141860194154E-3</v>
          </cell>
          <cell r="J612">
            <v>2.0119535248023361E-3</v>
          </cell>
        </row>
        <row r="613">
          <cell r="A613" t="str">
            <v>ITOT-ELCSPECADV</v>
          </cell>
          <cell r="B613" t="str">
            <v>VAR_fin</v>
          </cell>
          <cell r="C613" t="str">
            <v>ITOT_ELC</v>
          </cell>
          <cell r="H613">
            <v>2.1313823114259669E-3</v>
          </cell>
          <cell r="I613">
            <v>1.7043765327449203E-3</v>
          </cell>
          <cell r="J613">
            <v>1.7495248041759456E-3</v>
          </cell>
        </row>
        <row r="614">
          <cell r="A614" t="str">
            <v>ITOT-ELCSPECADV</v>
          </cell>
          <cell r="B614" t="str">
            <v>VAR_ncap</v>
          </cell>
          <cell r="C614" t="str">
            <v>-</v>
          </cell>
          <cell r="H614">
            <v>6.3788013470908206E-5</v>
          </cell>
          <cell r="I614">
            <v>1.72743171360687E-6</v>
          </cell>
          <cell r="J614">
            <v>1.34191683613719E-6</v>
          </cell>
        </row>
        <row r="615">
          <cell r="A615" t="str">
            <v>ITOT-ELCSPECADV</v>
          </cell>
          <cell r="B615" t="str">
            <v>VAR_cap</v>
          </cell>
          <cell r="C615" t="str">
            <v>-</v>
          </cell>
          <cell r="H615">
            <v>1.3733134464842225E-4</v>
          </cell>
          <cell r="I615">
            <v>1.383341276601633E-4</v>
          </cell>
          <cell r="J615">
            <v>1.1339890379270183E-4</v>
          </cell>
        </row>
        <row r="616">
          <cell r="A616" t="str">
            <v>RHES-SHELCBR</v>
          </cell>
          <cell r="B616" t="str">
            <v>VAR_fout</v>
          </cell>
          <cell r="C616" t="str">
            <v>RHES-SHAELCB</v>
          </cell>
          <cell r="H616">
            <v>1.3390568582066199E-2</v>
          </cell>
          <cell r="I616">
            <v>3.2177860990953069E-3</v>
          </cell>
          <cell r="J616">
            <v>1.7985620764112717E-3</v>
          </cell>
        </row>
        <row r="617">
          <cell r="A617" t="str">
            <v>RHES-SHELCBR</v>
          </cell>
          <cell r="B617" t="str">
            <v>VAR_fin</v>
          </cell>
          <cell r="C617" t="str">
            <v>RHES_ELC</v>
          </cell>
          <cell r="H617">
            <v>1.4594831448628788E-2</v>
          </cell>
          <cell r="I617">
            <v>3.4741728512209984E-3</v>
          </cell>
          <cell r="J617">
            <v>1.9044756824002206E-3</v>
          </cell>
        </row>
        <row r="618">
          <cell r="A618" t="str">
            <v>RHES-SHELCBR</v>
          </cell>
          <cell r="B618" t="str">
            <v>VAR_ncap</v>
          </cell>
          <cell r="C618" t="str">
            <v>-</v>
          </cell>
          <cell r="H618">
            <v>4.6055130459244501E-6</v>
          </cell>
          <cell r="I618">
            <v>3.7996007771690202E-4</v>
          </cell>
          <cell r="J618">
            <v>4.2863367922517201E-7</v>
          </cell>
        </row>
        <row r="619">
          <cell r="A619" t="str">
            <v>RHES-SHELCBR</v>
          </cell>
          <cell r="B619" t="str">
            <v>VAR_cap</v>
          </cell>
          <cell r="C619" t="str">
            <v>-</v>
          </cell>
          <cell r="H619">
            <v>2.0191717075079274E-3</v>
          </cell>
          <cell r="I619">
            <v>3.8394874111212285E-4</v>
          </cell>
          <cell r="J619">
            <v>2.6165863777507527E-4</v>
          </cell>
        </row>
        <row r="620">
          <cell r="A620" t="str">
            <v>RHSA-WHELCBR</v>
          </cell>
          <cell r="B620" t="str">
            <v>VAR_fout</v>
          </cell>
          <cell r="C620" t="str">
            <v>RHSA-WHAELCB</v>
          </cell>
          <cell r="H620">
            <v>1.8609773833200045</v>
          </cell>
          <cell r="I620">
            <v>1.7035423720035732</v>
          </cell>
          <cell r="J620">
            <v>1.4830005835378877</v>
          </cell>
        </row>
        <row r="621">
          <cell r="A621" t="str">
            <v>RHSA-WHELCBR</v>
          </cell>
          <cell r="B621" t="str">
            <v>VAR_fin</v>
          </cell>
          <cell r="C621" t="str">
            <v>RHSA_ELC</v>
          </cell>
          <cell r="H621">
            <v>3.7521221447788835</v>
          </cell>
          <cell r="I621">
            <v>3.3787416656177447</v>
          </cell>
          <cell r="J621">
            <v>2.860120820985943</v>
          </cell>
        </row>
        <row r="622">
          <cell r="A622" t="str">
            <v>RHSA-WHELCBR</v>
          </cell>
          <cell r="B622" t="str">
            <v>VAR_ncap</v>
          </cell>
          <cell r="C622" t="str">
            <v>-</v>
          </cell>
          <cell r="H622">
            <v>5.5948129151470599E-2</v>
          </cell>
          <cell r="I622">
            <v>9.7233342362408701E-2</v>
          </cell>
          <cell r="J622">
            <v>3.9035426248594102E-2</v>
          </cell>
        </row>
        <row r="623">
          <cell r="A623" t="str">
            <v>RHSA-WHELCBR</v>
          </cell>
          <cell r="B623" t="str">
            <v>VAR_cap</v>
          </cell>
          <cell r="C623" t="str">
            <v>-</v>
          </cell>
          <cell r="H623">
            <v>0.13057668408902731</v>
          </cell>
          <cell r="I623">
            <v>0.15318023074736523</v>
          </cell>
          <cell r="J623">
            <v>0.13326525219646462</v>
          </cell>
        </row>
        <row r="624">
          <cell r="A624" t="str">
            <v>ITOT-SWHLTHDH</v>
          </cell>
          <cell r="B624" t="str">
            <v>VAR_fout</v>
          </cell>
          <cell r="C624" t="str">
            <v>ITOT-SWH</v>
          </cell>
          <cell r="H624">
            <v>7.1660515196631502</v>
          </cell>
          <cell r="I624">
            <v>7.2037011804686566</v>
          </cell>
          <cell r="J624">
            <v>8.1022168115436948</v>
          </cell>
        </row>
        <row r="625">
          <cell r="A625" t="str">
            <v>ITOT-SWHLTHDH</v>
          </cell>
          <cell r="B625" t="str">
            <v>VAR_fin</v>
          </cell>
          <cell r="C625" t="str">
            <v>ITOT_LTH_DH</v>
          </cell>
          <cell r="H625">
            <v>7.6289208385150111</v>
          </cell>
          <cell r="I625">
            <v>7.6287985882044964</v>
          </cell>
          <cell r="J625">
            <v>8.528649275309153</v>
          </cell>
        </row>
        <row r="626">
          <cell r="A626" t="str">
            <v>ITOT-SWHLTHDH</v>
          </cell>
          <cell r="B626" t="str">
            <v>VAR_fin</v>
          </cell>
          <cell r="C626" t="str">
            <v>ITOTLTHDHC</v>
          </cell>
          <cell r="H626">
            <v>7.1660515196631502</v>
          </cell>
          <cell r="I626">
            <v>7.2037011804686566</v>
          </cell>
          <cell r="J626">
            <v>8.1022168115436948</v>
          </cell>
        </row>
        <row r="627">
          <cell r="A627" t="str">
            <v>ITOT-SWHLTHDH</v>
          </cell>
          <cell r="B627" t="str">
            <v>VAR_ncap</v>
          </cell>
          <cell r="C627" t="str">
            <v>-</v>
          </cell>
          <cell r="H627">
            <v>0.27068024774823002</v>
          </cell>
          <cell r="I627">
            <v>0.32179997280931999</v>
          </cell>
          <cell r="J627">
            <v>0.52000572920108601</v>
          </cell>
        </row>
        <row r="628">
          <cell r="A628" t="str">
            <v>ITOT-SWHLTHDH</v>
          </cell>
          <cell r="B628" t="str">
            <v>VAR_cap</v>
          </cell>
          <cell r="C628" t="str">
            <v>-</v>
          </cell>
          <cell r="H628">
            <v>0.550689533553815</v>
          </cell>
          <cell r="I628">
            <v>0.59730953973386791</v>
          </cell>
          <cell r="J628">
            <v>0.79160456214001973</v>
          </cell>
        </row>
        <row r="629">
          <cell r="A629" t="str">
            <v>RHES-SHCONBR2</v>
          </cell>
          <cell r="B629" t="str">
            <v>VAR_fout</v>
          </cell>
          <cell r="C629" t="str">
            <v>RHES-SHCON</v>
          </cell>
          <cell r="H629">
            <v>1.4195165055591128</v>
          </cell>
          <cell r="I629">
            <v>2.9189846179303625</v>
          </cell>
          <cell r="J629">
            <v>4.6680874285378726</v>
          </cell>
        </row>
        <row r="630">
          <cell r="A630" t="str">
            <v>RHES-SHCONBR2</v>
          </cell>
          <cell r="B630" t="str">
            <v>VAR_fin</v>
          </cell>
          <cell r="C630" t="str">
            <v>CON</v>
          </cell>
          <cell r="H630">
            <v>1.4195165055591128</v>
          </cell>
          <cell r="I630">
            <v>2.9189846179303625</v>
          </cell>
          <cell r="J630">
            <v>4.6680874285378726</v>
          </cell>
        </row>
        <row r="631">
          <cell r="A631" t="str">
            <v>RHES-SHCONBR2</v>
          </cell>
          <cell r="B631" t="str">
            <v>VAR_ncap</v>
          </cell>
          <cell r="C631" t="str">
            <v>-</v>
          </cell>
          <cell r="H631">
            <v>4.8199928754066798E-2</v>
          </cell>
          <cell r="I631">
            <v>0.12113301811645</v>
          </cell>
          <cell r="J631">
            <v>0.17179849766966801</v>
          </cell>
        </row>
        <row r="632">
          <cell r="A632" t="str">
            <v>RHES-SHCONBR2</v>
          </cell>
          <cell r="B632" t="str">
            <v>VAR_cap</v>
          </cell>
          <cell r="C632" t="str">
            <v>-</v>
          </cell>
          <cell r="H632">
            <v>0.11471728128530247</v>
          </cell>
          <cell r="I632">
            <v>0.2358505898920992</v>
          </cell>
          <cell r="J632">
            <v>0.37713831852244678</v>
          </cell>
        </row>
        <row r="633">
          <cell r="A633" t="str">
            <v>ITOT-SWHCONBR4</v>
          </cell>
          <cell r="B633" t="str">
            <v>VAR_fout</v>
          </cell>
          <cell r="C633" t="str">
            <v>ITOT-ELS</v>
          </cell>
          <cell r="H633">
            <v>1.4694067060549147E-4</v>
          </cell>
          <cell r="I633">
            <v>1.2599233839771635E-3</v>
          </cell>
          <cell r="J633">
            <v>1.2592792022277418E-3</v>
          </cell>
        </row>
        <row r="634">
          <cell r="A634" t="str">
            <v>ITOT-SWHCONBR4</v>
          </cell>
          <cell r="B634" t="str">
            <v>VAR_fout</v>
          </cell>
          <cell r="C634" t="str">
            <v>ITOT-SWHC</v>
          </cell>
          <cell r="H634">
            <v>1.5791035642168799E-3</v>
          </cell>
          <cell r="I634">
            <v>1.353981507012518E-2</v>
          </cell>
          <cell r="J634">
            <v>1.3532892346196366E-2</v>
          </cell>
        </row>
        <row r="635">
          <cell r="A635" t="str">
            <v>ITOT-SWHCONBR4</v>
          </cell>
          <cell r="B635" t="str">
            <v>VAR_fin</v>
          </cell>
          <cell r="C635" t="str">
            <v>CON</v>
          </cell>
          <cell r="H635">
            <v>1.7260442348223735E-3</v>
          </cell>
          <cell r="I635">
            <v>1.4799738454102356E-2</v>
          </cell>
          <cell r="J635">
            <v>1.4792171548424132E-2</v>
          </cell>
        </row>
        <row r="636">
          <cell r="A636" t="str">
            <v>ITOT-SWHCONBR4</v>
          </cell>
          <cell r="B636" t="str">
            <v>VAR_ncap</v>
          </cell>
          <cell r="C636" t="str">
            <v>-</v>
          </cell>
          <cell r="H636">
            <v>9.0581952811385298E-5</v>
          </cell>
          <cell r="I636">
            <v>7.1266108583543995E-4</v>
          </cell>
          <cell r="J636">
            <v>2.4782177288475398E-4</v>
          </cell>
        </row>
        <row r="637">
          <cell r="A637" t="str">
            <v>ITOT-SWHCONBR4</v>
          </cell>
          <cell r="B637" t="str">
            <v>VAR_cap</v>
          </cell>
          <cell r="C637" t="str">
            <v>-</v>
          </cell>
          <cell r="H637">
            <v>9.0581952811385298E-5</v>
          </cell>
          <cell r="I637">
            <v>8.0324303864682503E-4</v>
          </cell>
          <cell r="J637">
            <v>8.0333949558466903E-4</v>
          </cell>
        </row>
        <row r="638">
          <cell r="A638" t="str">
            <v>D-ITOT_NKEV_GAS_ELC_CHP</v>
          </cell>
          <cell r="B638" t="str">
            <v>VAR_fout</v>
          </cell>
          <cell r="C638" t="str">
            <v>ITOT_ELC</v>
          </cell>
          <cell r="H638">
            <v>0.66346608889845005</v>
          </cell>
          <cell r="I638">
            <v>0.2001092897283121</v>
          </cell>
          <cell r="J638">
            <v>0.65139762208257568</v>
          </cell>
        </row>
        <row r="639">
          <cell r="A639" t="str">
            <v>D-ITOT_NKEV_GAS_ELC_CHP</v>
          </cell>
          <cell r="B639" t="str">
            <v>VAR_fout</v>
          </cell>
          <cell r="C639" t="str">
            <v>ELC5</v>
          </cell>
          <cell r="H639">
            <v>6.5151259088196594E-3</v>
          </cell>
          <cell r="I639">
            <v>2.6131052522706762E-2</v>
          </cell>
          <cell r="J639">
            <v>1.8595332223321957E-2</v>
          </cell>
        </row>
        <row r="640">
          <cell r="A640" t="str">
            <v>D-ITOT_NKEV_GAS_ELC_CHP</v>
          </cell>
          <cell r="B640" t="str">
            <v>VAR_fin</v>
          </cell>
          <cell r="C640" t="str">
            <v>ITOT_NKEV_GAS_ELC_CHP</v>
          </cell>
          <cell r="H640">
            <v>0.66998121480726969</v>
          </cell>
          <cell r="I640">
            <v>0.22624034225101899</v>
          </cell>
          <cell r="J640">
            <v>0.66999295430589767</v>
          </cell>
        </row>
        <row r="641">
          <cell r="A641" t="str">
            <v>SCOM-SHELCBR</v>
          </cell>
          <cell r="B641" t="str">
            <v>VAR_fout</v>
          </cell>
          <cell r="C641" t="str">
            <v>SCOM-SHAELCB</v>
          </cell>
          <cell r="H641">
            <v>0.26779294374924795</v>
          </cell>
          <cell r="I641">
            <v>0.22212446586049489</v>
          </cell>
          <cell r="J641">
            <v>0.16175147797878978</v>
          </cell>
        </row>
        <row r="642">
          <cell r="A642" t="str">
            <v>SCOM-SHELCBR</v>
          </cell>
          <cell r="B642" t="str">
            <v>VAR_fin</v>
          </cell>
          <cell r="C642" t="str">
            <v>SCOM_ELC</v>
          </cell>
          <cell r="H642">
            <v>0.53503465118754301</v>
          </cell>
          <cell r="I642">
            <v>0.43742055312680522</v>
          </cell>
          <cell r="J642">
            <v>0.30490409319494854</v>
          </cell>
        </row>
        <row r="643">
          <cell r="A643" t="str">
            <v>SCOM-SHELCBR</v>
          </cell>
          <cell r="B643" t="str">
            <v>VAR_ncap</v>
          </cell>
          <cell r="C643" t="str">
            <v>-</v>
          </cell>
          <cell r="H643">
            <v>1.6643210803334099E-2</v>
          </cell>
          <cell r="I643">
            <v>8.0252720467697096E-3</v>
          </cell>
          <cell r="J643">
            <v>4.5691970350257901E-3</v>
          </cell>
        </row>
        <row r="644">
          <cell r="A644" t="str">
            <v>SCOM-SHELCBR</v>
          </cell>
          <cell r="B644" t="str">
            <v>VAR_cap</v>
          </cell>
          <cell r="C644" t="str">
            <v>-</v>
          </cell>
          <cell r="H644">
            <v>2.6687071179883101E-2</v>
          </cell>
          <cell r="I644">
            <v>2.466665543938432E-2</v>
          </cell>
          <cell r="J644">
            <v>1.742933131968159E-2</v>
          </cell>
        </row>
        <row r="645">
          <cell r="A645" t="str">
            <v>RHES-SHCONBR3</v>
          </cell>
          <cell r="B645" t="str">
            <v>VAR_fout</v>
          </cell>
          <cell r="C645" t="str">
            <v>RHES-SHCON</v>
          </cell>
          <cell r="H645">
            <v>0.68804870691437992</v>
          </cell>
          <cell r="I645">
            <v>0.68811577468676766</v>
          </cell>
          <cell r="J645">
            <v>2.0453291524542889</v>
          </cell>
        </row>
        <row r="646">
          <cell r="A646" t="str">
            <v>RHES-SHCONBR3</v>
          </cell>
          <cell r="B646" t="str">
            <v>VAR_fin</v>
          </cell>
          <cell r="C646" t="str">
            <v>CON</v>
          </cell>
          <cell r="H646">
            <v>0.68804870691437992</v>
          </cell>
          <cell r="I646">
            <v>0.68811577468676766</v>
          </cell>
          <cell r="J646">
            <v>2.0453291524542889</v>
          </cell>
        </row>
        <row r="647">
          <cell r="A647" t="str">
            <v>RHES-SHCONBR3</v>
          </cell>
          <cell r="B647" t="str">
            <v>VAR_ncap</v>
          </cell>
          <cell r="C647" t="str">
            <v>-</v>
          </cell>
          <cell r="H647">
            <v>1.6967931728028599E-7</v>
          </cell>
          <cell r="I647">
            <v>2.06055215943884E-7</v>
          </cell>
          <cell r="J647">
            <v>0.13315434640843299</v>
          </cell>
        </row>
        <row r="648">
          <cell r="A648" t="str">
            <v>RHES-SHCONBR3</v>
          </cell>
          <cell r="B648" t="str">
            <v>VAR_cap</v>
          </cell>
          <cell r="C648" t="str">
            <v>-</v>
          </cell>
          <cell r="H648">
            <v>5.5620883763221073E-2</v>
          </cell>
          <cell r="I648">
            <v>5.5621375909897838E-2</v>
          </cell>
          <cell r="J648">
            <v>0.16524302851461389</v>
          </cell>
        </row>
        <row r="649">
          <cell r="A649" t="str">
            <v>ITOT-SWHCONBR5</v>
          </cell>
          <cell r="B649" t="str">
            <v>VAR_fout</v>
          </cell>
          <cell r="C649" t="str">
            <v>ITOT-ELS</v>
          </cell>
          <cell r="H649">
            <v>2.5053265965330673E-4</v>
          </cell>
          <cell r="I649">
            <v>1.3095846892081965E-3</v>
          </cell>
          <cell r="J649">
            <v>1.3083496154153941E-3</v>
          </cell>
        </row>
        <row r="650">
          <cell r="A650" t="str">
            <v>ITOT-SWHCONBR5</v>
          </cell>
          <cell r="B650" t="str">
            <v>VAR_fout</v>
          </cell>
          <cell r="C650" t="str">
            <v>ITOT-SWHC</v>
          </cell>
          <cell r="H650">
            <v>1.2288317492396487E-3</v>
          </cell>
          <cell r="I650">
            <v>6.423351137708355E-3</v>
          </cell>
          <cell r="J650">
            <v>6.4172932533137668E-3</v>
          </cell>
        </row>
        <row r="651">
          <cell r="A651" t="str">
            <v>ITOT-SWHCONBR5</v>
          </cell>
          <cell r="B651" t="str">
            <v>VAR_fin</v>
          </cell>
          <cell r="C651" t="str">
            <v>CON</v>
          </cell>
          <cell r="H651">
            <v>1.4793644088929546E-3</v>
          </cell>
          <cell r="I651">
            <v>7.7329358269165515E-3</v>
          </cell>
          <cell r="J651">
            <v>7.725642868729168E-3</v>
          </cell>
        </row>
        <row r="652">
          <cell r="A652" t="str">
            <v>ITOT-SWHCONBR5</v>
          </cell>
          <cell r="B652" t="str">
            <v>VAR_ncap</v>
          </cell>
          <cell r="C652" t="str">
            <v>-</v>
          </cell>
          <cell r="H652">
            <v>7.7623938374851102E-5</v>
          </cell>
          <cell r="I652">
            <v>3.40985082328207E-4</v>
          </cell>
          <cell r="J652">
            <v>1.38569861542461E-4</v>
          </cell>
        </row>
        <row r="653">
          <cell r="A653" t="str">
            <v>ITOT-SWHCONBR5</v>
          </cell>
          <cell r="B653" t="str">
            <v>VAR_cap</v>
          </cell>
          <cell r="C653" t="str">
            <v>-</v>
          </cell>
          <cell r="H653">
            <v>7.7623938374851102E-5</v>
          </cell>
          <cell r="I653">
            <v>4.1860902070305799E-4</v>
          </cell>
          <cell r="J653">
            <v>4.1886867767833801E-4</v>
          </cell>
        </row>
        <row r="654">
          <cell r="A654" t="str">
            <v>RHES-SHSTG-ELC</v>
          </cell>
          <cell r="B654" t="str">
            <v>VAR_fout</v>
          </cell>
          <cell r="C654" t="str">
            <v>RHES-SHAELCB</v>
          </cell>
          <cell r="H654">
            <v>1.2621574347540414E-3</v>
          </cell>
          <cell r="I654">
            <v>3.483502051404878E-4</v>
          </cell>
          <cell r="J654">
            <v>2.5245822803601737E-4</v>
          </cell>
        </row>
        <row r="655">
          <cell r="A655" t="str">
            <v>RHES-SHSTG-ELC</v>
          </cell>
          <cell r="B655" t="str">
            <v>VAR_fout</v>
          </cell>
          <cell r="C655" t="str">
            <v>AUX_RHES-SHSTG-ELC_OUT</v>
          </cell>
          <cell r="H655">
            <v>1.2634195921887943E-3</v>
          </cell>
          <cell r="I655">
            <v>3.4869855534562857E-4</v>
          </cell>
          <cell r="J655">
            <v>2.5271068626405341E-4</v>
          </cell>
        </row>
        <row r="656">
          <cell r="A656" t="str">
            <v>RHES-SHSTG-ELC</v>
          </cell>
          <cell r="B656" t="str">
            <v>VAR_fin</v>
          </cell>
          <cell r="C656" t="str">
            <v>RHES-SHAELCB</v>
          </cell>
          <cell r="H656">
            <v>1.2636292285723738E-3</v>
          </cell>
          <cell r="I656">
            <v>3.5013292356792457E-4</v>
          </cell>
          <cell r="J656">
            <v>2.5372748850396534E-4</v>
          </cell>
        </row>
        <row r="657">
          <cell r="A657" t="str">
            <v>RHES-SHSTG-ELC</v>
          </cell>
          <cell r="B657" t="str">
            <v>VAR_ncap</v>
          </cell>
          <cell r="C657" t="str">
            <v>-</v>
          </cell>
          <cell r="H657">
            <v>4.8451390832836398E-5</v>
          </cell>
          <cell r="I657">
            <v>5.4073402569021903E-5</v>
          </cell>
          <cell r="J657">
            <v>2.7174535353017699E-5</v>
          </cell>
        </row>
        <row r="658">
          <cell r="A658" t="str">
            <v>RHES-SHSTG-ELC</v>
          </cell>
          <cell r="B658" t="str">
            <v>VAR_cap</v>
          </cell>
          <cell r="C658" t="str">
            <v>-</v>
          </cell>
          <cell r="H658">
            <v>3.5621197185059864E-4</v>
          </cell>
          <cell r="I658">
            <v>6.9575669315560993E-5</v>
          </cell>
          <cell r="J658">
            <v>4.7819173260368798E-5</v>
          </cell>
        </row>
        <row r="659">
          <cell r="A659" t="str">
            <v>RHES-SHCONBR4</v>
          </cell>
          <cell r="B659" t="str">
            <v>VAR_fout</v>
          </cell>
          <cell r="C659" t="str">
            <v>RHES-SHCON</v>
          </cell>
          <cell r="H659">
            <v>0.42625633133271734</v>
          </cell>
          <cell r="I659">
            <v>0.42632143010459189</v>
          </cell>
          <cell r="J659">
            <v>0.24660800761096199</v>
          </cell>
        </row>
        <row r="660">
          <cell r="A660" t="str">
            <v>RHES-SHCONBR4</v>
          </cell>
          <cell r="B660" t="str">
            <v>VAR_fin</v>
          </cell>
          <cell r="C660" t="str">
            <v>CON</v>
          </cell>
          <cell r="H660">
            <v>0.42625633133271734</v>
          </cell>
          <cell r="I660">
            <v>0.42632143010459189</v>
          </cell>
          <cell r="J660">
            <v>0.24660800761096199</v>
          </cell>
        </row>
        <row r="661">
          <cell r="A661" t="str">
            <v>RHES-SHCONBR4</v>
          </cell>
          <cell r="B661" t="str">
            <v>VAR_ncap</v>
          </cell>
          <cell r="C661" t="str">
            <v>-</v>
          </cell>
          <cell r="H661">
            <v>1.06784429856275E-7</v>
          </cell>
          <cell r="I661">
            <v>9.6306310942398297E-8</v>
          </cell>
          <cell r="J661">
            <v>5.2958960222685105E-7</v>
          </cell>
        </row>
        <row r="662">
          <cell r="A662" t="str">
            <v>RHES-SHCONBR4</v>
          </cell>
          <cell r="B662" t="str">
            <v>VAR_cap</v>
          </cell>
          <cell r="C662" t="str">
            <v>-</v>
          </cell>
          <cell r="H662">
            <v>3.4470540612075724E-2</v>
          </cell>
          <cell r="I662">
            <v>3.4470727841478109E-2</v>
          </cell>
          <cell r="J662">
            <v>1.9928289159245161E-2</v>
          </cell>
        </row>
        <row r="663">
          <cell r="A663" t="str">
            <v>ITOT-SWHCONBR6</v>
          </cell>
          <cell r="B663" t="str">
            <v>VAR_fout</v>
          </cell>
          <cell r="C663" t="str">
            <v>ITOT-SWHC</v>
          </cell>
          <cell r="I663">
            <v>1.6854092897245663E-3</v>
          </cell>
          <cell r="J663">
            <v>1.6766006096762493E-3</v>
          </cell>
        </row>
        <row r="664">
          <cell r="A664" t="str">
            <v>ITOT-SWHCONBR6</v>
          </cell>
          <cell r="B664" t="str">
            <v>VAR_fin</v>
          </cell>
          <cell r="C664" t="str">
            <v>CON</v>
          </cell>
          <cell r="I664">
            <v>1.6854092897245663E-3</v>
          </cell>
          <cell r="J664">
            <v>1.6766006096762493E-3</v>
          </cell>
        </row>
        <row r="665">
          <cell r="A665" t="str">
            <v>ITOT-SWHCONBR6</v>
          </cell>
          <cell r="B665" t="str">
            <v>VAR_ncap</v>
          </cell>
          <cell r="C665" t="str">
            <v>-</v>
          </cell>
          <cell r="I665">
            <v>8.9717707116528006E-5</v>
          </cell>
          <cell r="J665">
            <v>2.4546813441569001E-5</v>
          </cell>
        </row>
        <row r="666">
          <cell r="A666" t="str">
            <v>ITOT-SWHCONBR6</v>
          </cell>
          <cell r="B666" t="str">
            <v>VAR_cap</v>
          </cell>
          <cell r="C666" t="str">
            <v>-</v>
          </cell>
          <cell r="I666">
            <v>8.9717707116528006E-5</v>
          </cell>
          <cell r="J666">
            <v>8.9657961181297707E-5</v>
          </cell>
        </row>
        <row r="667">
          <cell r="A667" t="str">
            <v>RHNM-SHNGAHP</v>
          </cell>
          <cell r="B667" t="str">
            <v>VAR_fout</v>
          </cell>
          <cell r="C667" t="str">
            <v>CO2_R</v>
          </cell>
          <cell r="H667">
            <v>26.739434206204599</v>
          </cell>
          <cell r="I667">
            <v>31.602690019989399</v>
          </cell>
          <cell r="J667">
            <v>34.535650192502203</v>
          </cell>
        </row>
        <row r="668">
          <cell r="A668" t="str">
            <v>RHNM-SHNGAHP</v>
          </cell>
          <cell r="B668" t="str">
            <v>VAR_fout</v>
          </cell>
          <cell r="C668" t="str">
            <v>RHNM-SHANGAH</v>
          </cell>
          <cell r="H668">
            <v>0.95800463648675327</v>
          </cell>
          <cell r="I668">
            <v>1.1485260885624038</v>
          </cell>
          <cell r="J668">
            <v>1.2977281120290793</v>
          </cell>
        </row>
        <row r="669">
          <cell r="A669" t="str">
            <v>RHNM-SHNGAHP</v>
          </cell>
          <cell r="B669" t="str">
            <v>VAR_fin</v>
          </cell>
          <cell r="C669" t="str">
            <v>RNGA</v>
          </cell>
          <cell r="H669">
            <v>0.47410344337242211</v>
          </cell>
          <cell r="I669">
            <v>0.56033138333314569</v>
          </cell>
          <cell r="J669">
            <v>0.61233422327131648</v>
          </cell>
        </row>
        <row r="670">
          <cell r="A670" t="str">
            <v>RHNM-SHNGAHP</v>
          </cell>
          <cell r="B670" t="str">
            <v>VAR_fin</v>
          </cell>
          <cell r="C670" t="str">
            <v>RHNMELCHPC</v>
          </cell>
          <cell r="H670">
            <v>0.95800463648675327</v>
          </cell>
          <cell r="I670">
            <v>1.1485260885624038</v>
          </cell>
          <cell r="J670">
            <v>1.2977281120290793</v>
          </cell>
        </row>
        <row r="671">
          <cell r="A671" t="str">
            <v>RHNM-SHNGAHP</v>
          </cell>
          <cell r="B671" t="str">
            <v>VAR_ncap</v>
          </cell>
          <cell r="C671" t="str">
            <v>-</v>
          </cell>
          <cell r="H671">
            <v>1.9729734403686E-2</v>
          </cell>
          <cell r="I671">
            <v>4.3095250591269098E-2</v>
          </cell>
          <cell r="J671">
            <v>6.1575363613230703E-2</v>
          </cell>
        </row>
        <row r="672">
          <cell r="A672" t="str">
            <v>RHNM-SHNGAHP</v>
          </cell>
          <cell r="B672" t="str">
            <v>VAR_cap</v>
          </cell>
          <cell r="C672" t="str">
            <v>-</v>
          </cell>
          <cell r="H672">
            <v>7.4475746524289566E-2</v>
          </cell>
          <cell r="I672">
            <v>8.9640077017458603E-2</v>
          </cell>
          <cell r="J672">
            <v>0.10119618621089109</v>
          </cell>
        </row>
        <row r="673">
          <cell r="A673" t="str">
            <v>D-SCOM_KEV_WOD_ELC_CHP</v>
          </cell>
          <cell r="B673" t="str">
            <v>VAR_fout</v>
          </cell>
          <cell r="C673" t="str">
            <v>ELC5</v>
          </cell>
          <cell r="H673">
            <v>1.3070521531203271E-3</v>
          </cell>
          <cell r="I673">
            <v>8.5091618663101789E-4</v>
          </cell>
          <cell r="J673">
            <v>3.6464602662370958E-4</v>
          </cell>
        </row>
        <row r="674">
          <cell r="A674" t="str">
            <v>D-SCOM_KEV_WOD_ELC_CHP</v>
          </cell>
          <cell r="B674" t="str">
            <v>VAR_fout</v>
          </cell>
          <cell r="C674" t="str">
            <v>SCOM_ELC</v>
          </cell>
          <cell r="H674">
            <v>2.6557162636278464E-3</v>
          </cell>
          <cell r="I674">
            <v>1.2917529910962617E-3</v>
          </cell>
          <cell r="J674">
            <v>4.85619595198542E-4</v>
          </cell>
        </row>
        <row r="675">
          <cell r="A675" t="str">
            <v>D-SCOM_KEV_WOD_ELC_CHP</v>
          </cell>
          <cell r="B675" t="str">
            <v>VAR_fin</v>
          </cell>
          <cell r="C675" t="str">
            <v>SCOM_KEV_WOD_ELC_CHP</v>
          </cell>
          <cell r="H675">
            <v>3.9258722558165758E-3</v>
          </cell>
          <cell r="I675">
            <v>2.1118526464001842E-3</v>
          </cell>
          <cell r="J675">
            <v>8.2573278130341002E-4</v>
          </cell>
        </row>
        <row r="676">
          <cell r="A676" t="str">
            <v>RHES-SHCONBR5</v>
          </cell>
          <cell r="B676" t="str">
            <v>VAR_fout</v>
          </cell>
          <cell r="C676" t="str">
            <v>RHES-SHCON</v>
          </cell>
          <cell r="H676">
            <v>1.3098583317804106E-3</v>
          </cell>
          <cell r="I676">
            <v>1.3508784557901244E-3</v>
          </cell>
          <cell r="J676">
            <v>8.4786649263346805E-4</v>
          </cell>
        </row>
        <row r="677">
          <cell r="A677" t="str">
            <v>RHES-SHCONBR5</v>
          </cell>
          <cell r="B677" t="str">
            <v>VAR_fin</v>
          </cell>
          <cell r="C677" t="str">
            <v>CON</v>
          </cell>
          <cell r="H677">
            <v>1.3098583317804106E-3</v>
          </cell>
          <cell r="I677">
            <v>1.3508784557901244E-3</v>
          </cell>
          <cell r="J677">
            <v>8.4786649263346805E-4</v>
          </cell>
        </row>
        <row r="678">
          <cell r="A678" t="str">
            <v>RHES-SHCONBR5</v>
          </cell>
          <cell r="B678" t="str">
            <v>VAR_ncap</v>
          </cell>
          <cell r="C678" t="str">
            <v>-</v>
          </cell>
          <cell r="H678">
            <v>7.4514994388676705E-8</v>
          </cell>
          <cell r="I678">
            <v>6.7256999465343901E-8</v>
          </cell>
          <cell r="J678">
            <v>1.4515789704922501E-7</v>
          </cell>
        </row>
        <row r="679">
          <cell r="A679" t="str">
            <v>RHES-SHCONBR5</v>
          </cell>
          <cell r="B679" t="str">
            <v>VAR_cap</v>
          </cell>
          <cell r="C679" t="str">
            <v>-</v>
          </cell>
          <cell r="H679">
            <v>1.2221362099095595E-4</v>
          </cell>
          <cell r="I679">
            <v>1.2229948316479591E-4</v>
          </cell>
          <cell r="J679">
            <v>7.0992005096196482E-5</v>
          </cell>
        </row>
        <row r="680">
          <cell r="A680" t="str">
            <v>RHNS-SHCONBR</v>
          </cell>
          <cell r="B680" t="str">
            <v>VAR_fout</v>
          </cell>
          <cell r="C680" t="str">
            <v>RHNS-SHCON</v>
          </cell>
          <cell r="H680">
            <v>3.4659691245121594E-3</v>
          </cell>
          <cell r="I680">
            <v>9.9585103884142143E-3</v>
          </cell>
          <cell r="J680">
            <v>9.9464416202338594E-3</v>
          </cell>
        </row>
        <row r="681">
          <cell r="A681" t="str">
            <v>RHNS-SHCONBR</v>
          </cell>
          <cell r="B681" t="str">
            <v>VAR_fin</v>
          </cell>
          <cell r="C681" t="str">
            <v>CON</v>
          </cell>
          <cell r="H681">
            <v>3.4659691245121594E-3</v>
          </cell>
          <cell r="I681">
            <v>9.9585103884142143E-3</v>
          </cell>
          <cell r="J681">
            <v>9.9464416202338594E-3</v>
          </cell>
        </row>
        <row r="682">
          <cell r="A682" t="str">
            <v>RHNS-SHCONBR</v>
          </cell>
          <cell r="B682" t="str">
            <v>VAR_ncap</v>
          </cell>
          <cell r="C682" t="str">
            <v>-</v>
          </cell>
          <cell r="H682">
            <v>5.3149461896779399E-5</v>
          </cell>
          <cell r="I682">
            <v>4.7091697313195202E-4</v>
          </cell>
          <cell r="J682">
            <v>2.0279915988547899E-7</v>
          </cell>
        </row>
        <row r="683">
          <cell r="A683" t="str">
            <v>RHNS-SHCONBR</v>
          </cell>
          <cell r="B683" t="str">
            <v>VAR_cap</v>
          </cell>
          <cell r="C683" t="str">
            <v>-</v>
          </cell>
          <cell r="H683">
            <v>2.537607102883421E-4</v>
          </cell>
          <cell r="I683">
            <v>7.2468600169106883E-4</v>
          </cell>
          <cell r="J683">
            <v>7.2498389337806197E-4</v>
          </cell>
        </row>
        <row r="684">
          <cell r="A684" t="str">
            <v>D-RHEM_SOLELC</v>
          </cell>
          <cell r="B684" t="str">
            <v>VAR_fout</v>
          </cell>
          <cell r="C684" t="str">
            <v>ELC5</v>
          </cell>
          <cell r="H684">
            <v>2.2834315752155083E-3</v>
          </cell>
          <cell r="I684">
            <v>0.10690633951420851</v>
          </cell>
          <cell r="J684">
            <v>0.10103871818053267</v>
          </cell>
        </row>
        <row r="685">
          <cell r="A685" t="str">
            <v>D-RHEM_SOLELC</v>
          </cell>
          <cell r="B685" t="str">
            <v>VAR_fout</v>
          </cell>
          <cell r="C685" t="str">
            <v>RHEM_ELC</v>
          </cell>
          <cell r="H685">
            <v>2.0559026406680498</v>
          </cell>
          <cell r="I685">
            <v>7.9923357224271703</v>
          </cell>
          <cell r="J685">
            <v>8.5763311006004308</v>
          </cell>
        </row>
        <row r="686">
          <cell r="A686" t="str">
            <v>D-RHEM_SOLELC</v>
          </cell>
          <cell r="B686" t="str">
            <v>VAR_fin</v>
          </cell>
          <cell r="C686" t="str">
            <v>RHEM_SOL_ELC</v>
          </cell>
          <cell r="H686">
            <v>2.0581860722432666</v>
          </cell>
          <cell r="I686">
            <v>8.099242061941375</v>
          </cell>
          <cell r="J686">
            <v>8.67736981878096</v>
          </cell>
        </row>
        <row r="687">
          <cell r="A687" t="str">
            <v>ITOT-SWHCONBR7</v>
          </cell>
          <cell r="B687" t="str">
            <v>VAR_fout</v>
          </cell>
          <cell r="C687" t="str">
            <v>ITOT-ELS</v>
          </cell>
          <cell r="J687">
            <v>0.28747153867509456</v>
          </cell>
        </row>
        <row r="688">
          <cell r="A688" t="str">
            <v>ITOT-SWHCONBR7</v>
          </cell>
          <cell r="B688" t="str">
            <v>VAR_fout</v>
          </cell>
          <cell r="C688" t="str">
            <v>ITOT-SWHC</v>
          </cell>
          <cell r="J688">
            <v>5.0128611681134021E-2</v>
          </cell>
        </row>
        <row r="689">
          <cell r="A689" t="str">
            <v>ITOT-SWHCONBR7</v>
          </cell>
          <cell r="B689" t="str">
            <v>VAR_fin</v>
          </cell>
          <cell r="C689" t="str">
            <v>CON</v>
          </cell>
          <cell r="J689">
            <v>0.3376001503562287</v>
          </cell>
        </row>
        <row r="690">
          <cell r="A690" t="str">
            <v>ITOT-SWHCONBR7</v>
          </cell>
          <cell r="B690" t="str">
            <v>VAR_ncap</v>
          </cell>
          <cell r="C690" t="str">
            <v>-</v>
          </cell>
          <cell r="J690">
            <v>1.8362562593398898E-2</v>
          </cell>
        </row>
        <row r="691">
          <cell r="A691" t="str">
            <v>ITOT-SWHCONBR7</v>
          </cell>
          <cell r="B691" t="str">
            <v>VAR_cap</v>
          </cell>
          <cell r="C691" t="str">
            <v>-</v>
          </cell>
          <cell r="J691">
            <v>1.8362562593398898E-2</v>
          </cell>
        </row>
        <row r="692">
          <cell r="A692" t="str">
            <v>RHNS-SHSTG-ELCHP</v>
          </cell>
          <cell r="B692" t="str">
            <v>VAR_fout</v>
          </cell>
          <cell r="C692" t="str">
            <v>RHNS-SHAELCH</v>
          </cell>
          <cell r="H692">
            <v>0.21038335732363811</v>
          </cell>
          <cell r="I692">
            <v>0.26841589514365871</v>
          </cell>
          <cell r="J692">
            <v>0.33059799626275721</v>
          </cell>
        </row>
        <row r="693">
          <cell r="A693" t="str">
            <v>RHNS-SHSTG-ELCHP</v>
          </cell>
          <cell r="B693" t="str">
            <v>VAR_fout</v>
          </cell>
          <cell r="C693" t="str">
            <v>AUX_RHNS-SHSTG-ELCHP_OUT</v>
          </cell>
          <cell r="H693">
            <v>0.21059374068096165</v>
          </cell>
          <cell r="I693">
            <v>0.2686843110388023</v>
          </cell>
          <cell r="J693">
            <v>0.33092859425901966</v>
          </cell>
        </row>
        <row r="694">
          <cell r="A694" t="str">
            <v>RHNS-SHSTG-ELCHP</v>
          </cell>
          <cell r="B694" t="str">
            <v>VAR_fin</v>
          </cell>
          <cell r="C694" t="str">
            <v>RHNS-SHAELCH</v>
          </cell>
          <cell r="H694">
            <v>0.21039274477912823</v>
          </cell>
          <cell r="I694">
            <v>0.26842721874839698</v>
          </cell>
          <cell r="J694">
            <v>0.33060964286028249</v>
          </cell>
        </row>
        <row r="695">
          <cell r="A695" t="str">
            <v>RHNS-SHSTG-ELCHP</v>
          </cell>
          <cell r="B695" t="str">
            <v>VAR_ncap</v>
          </cell>
          <cell r="C695" t="str">
            <v>-</v>
          </cell>
          <cell r="H695">
            <v>6.5406384283082297E-3</v>
          </cell>
          <cell r="I695">
            <v>1.8368136384197601E-2</v>
          </cell>
          <cell r="J695">
            <v>2.25927865488409E-2</v>
          </cell>
        </row>
        <row r="696">
          <cell r="A696" t="str">
            <v>RHNS-SHSTG-ELCHP</v>
          </cell>
          <cell r="B696" t="str">
            <v>VAR_cap</v>
          </cell>
          <cell r="C696" t="str">
            <v>-</v>
          </cell>
          <cell r="H696">
            <v>2.8254919970766752E-2</v>
          </cell>
          <cell r="I696">
            <v>3.2609695410878936E-2</v>
          </cell>
          <cell r="J696">
            <v>3.8611070296173458E-2</v>
          </cell>
        </row>
        <row r="697">
          <cell r="A697" t="str">
            <v>RHNS-SHSOLBR</v>
          </cell>
          <cell r="B697" t="str">
            <v>VAR_fout</v>
          </cell>
          <cell r="C697" t="str">
            <v>RHNS-SHASOL</v>
          </cell>
          <cell r="H697">
            <v>2.7381895343022041E-4</v>
          </cell>
          <cell r="I697">
            <v>2.9281467563645446E-4</v>
          </cell>
          <cell r="J697">
            <v>5.6420028784721042E-4</v>
          </cell>
        </row>
        <row r="698">
          <cell r="A698" t="str">
            <v>RHNS-SHSOLBR</v>
          </cell>
          <cell r="B698" t="str">
            <v>VAR_fin</v>
          </cell>
          <cell r="C698" t="str">
            <v>SOL</v>
          </cell>
          <cell r="H698">
            <v>2.7381895343022041E-4</v>
          </cell>
          <cell r="I698">
            <v>2.9281467563645446E-4</v>
          </cell>
          <cell r="J698">
            <v>5.6420028784721042E-4</v>
          </cell>
        </row>
        <row r="699">
          <cell r="A699" t="str">
            <v>RHNS-SHSOLBR</v>
          </cell>
          <cell r="B699" t="str">
            <v>VAR_ncap</v>
          </cell>
          <cell r="C699" t="str">
            <v>-</v>
          </cell>
          <cell r="H699">
            <v>1.8275834474679501E-4</v>
          </cell>
          <cell r="I699">
            <v>1.00010517959388E-4</v>
          </cell>
          <cell r="J699">
            <v>8.1373605234045805E-5</v>
          </cell>
        </row>
        <row r="700">
          <cell r="A700" t="str">
            <v>RHNS-SHSOLBR</v>
          </cell>
          <cell r="B700" t="str">
            <v>VAR_cap</v>
          </cell>
          <cell r="C700" t="str">
            <v>-</v>
          </cell>
          <cell r="H700">
            <v>1.1834053088012359E-3</v>
          </cell>
          <cell r="I700">
            <v>2.9271624477845596E-4</v>
          </cell>
          <cell r="J700">
            <v>2.3083185465861184E-4</v>
          </cell>
        </row>
        <row r="701">
          <cell r="A701" t="str">
            <v>RHES-SHPLTBR</v>
          </cell>
          <cell r="B701" t="str">
            <v>VAR_fout</v>
          </cell>
          <cell r="C701" t="str">
            <v>RHES-SHPLT</v>
          </cell>
          <cell r="H701">
            <v>4.3875618506027891E-2</v>
          </cell>
          <cell r="I701">
            <v>4.825779458951996E-2</v>
          </cell>
          <cell r="J701">
            <v>4.4625999403227361E-2</v>
          </cell>
        </row>
        <row r="702">
          <cell r="A702" t="str">
            <v>RHES-SHPLTBR</v>
          </cell>
          <cell r="B702" t="str">
            <v>VAR_fin</v>
          </cell>
          <cell r="C702" t="str">
            <v>RPLT</v>
          </cell>
          <cell r="H702">
            <v>5.9032970879788343E-2</v>
          </cell>
          <cell r="I702">
            <v>6.4292758374404582E-2</v>
          </cell>
          <cell r="J702">
            <v>5.837492513873796E-2</v>
          </cell>
        </row>
        <row r="703">
          <cell r="A703" t="str">
            <v>RHES-SHPLTBR</v>
          </cell>
          <cell r="B703" t="str">
            <v>VAR_ncap</v>
          </cell>
          <cell r="C703" t="str">
            <v>-</v>
          </cell>
          <cell r="H703">
            <v>7.7240451994064205E-4</v>
          </cell>
          <cell r="I703">
            <v>3.2164810309734402E-3</v>
          </cell>
          <cell r="J703">
            <v>9.6532129581883698E-4</v>
          </cell>
        </row>
        <row r="704">
          <cell r="A704" t="str">
            <v>RHES-SHPLTBR</v>
          </cell>
          <cell r="B704" t="str">
            <v>VAR_cap</v>
          </cell>
          <cell r="C704" t="str">
            <v>-</v>
          </cell>
          <cell r="H704">
            <v>3.5896672484803868E-3</v>
          </cell>
          <cell r="I704">
            <v>3.9890985353681309E-3</v>
          </cell>
          <cell r="J704">
            <v>3.6261372587151706E-3</v>
          </cell>
        </row>
        <row r="705">
          <cell r="A705" t="str">
            <v>RHES-SHCONBR6</v>
          </cell>
          <cell r="B705" t="str">
            <v>VAR_fout</v>
          </cell>
          <cell r="C705" t="str">
            <v>RHES-SHCON</v>
          </cell>
          <cell r="H705">
            <v>3.9569751325188286E-4</v>
          </cell>
          <cell r="I705">
            <v>4.0757014602226199E-4</v>
          </cell>
          <cell r="J705">
            <v>2.7224082486982401E-4</v>
          </cell>
        </row>
        <row r="706">
          <cell r="A706" t="str">
            <v>RHES-SHCONBR6</v>
          </cell>
          <cell r="B706" t="str">
            <v>VAR_fin</v>
          </cell>
          <cell r="C706" t="str">
            <v>CON</v>
          </cell>
          <cell r="H706">
            <v>3.9569751325188286E-4</v>
          </cell>
          <cell r="I706">
            <v>4.0757014602226199E-4</v>
          </cell>
          <cell r="J706">
            <v>2.7224082486982401E-4</v>
          </cell>
        </row>
        <row r="707">
          <cell r="A707" t="str">
            <v>RHES-SHCONBR6</v>
          </cell>
          <cell r="B707" t="str">
            <v>VAR_ncap</v>
          </cell>
          <cell r="C707" t="str">
            <v>-</v>
          </cell>
          <cell r="H707">
            <v>6.0651323619501103E-8</v>
          </cell>
          <cell r="I707">
            <v>5.2936699623968097E-8</v>
          </cell>
          <cell r="J707">
            <v>9.4558403288580894E-8</v>
          </cell>
        </row>
        <row r="708">
          <cell r="A708" t="str">
            <v>RHES-SHCONBR6</v>
          </cell>
          <cell r="B708" t="str">
            <v>VAR_cap</v>
          </cell>
          <cell r="C708" t="str">
            <v>-</v>
          </cell>
          <cell r="H708">
            <v>3.8142601038432493E-5</v>
          </cell>
          <cell r="I708">
            <v>3.8177611174699816E-5</v>
          </cell>
          <cell r="J708">
            <v>2.2291279203652237E-5</v>
          </cell>
        </row>
        <row r="709">
          <cell r="A709" t="str">
            <v>RHSA-WHPLTBR</v>
          </cell>
          <cell r="B709" t="str">
            <v>VAR_fout</v>
          </cell>
          <cell r="C709" t="str">
            <v>RHSA-WHPLT</v>
          </cell>
          <cell r="H709">
            <v>0.11650929743458022</v>
          </cell>
          <cell r="I709">
            <v>0.13404013976178486</v>
          </cell>
          <cell r="J709">
            <v>0.13760120679526752</v>
          </cell>
        </row>
        <row r="710">
          <cell r="A710" t="str">
            <v>RHSA-WHPLTBR</v>
          </cell>
          <cell r="B710" t="str">
            <v>VAR_fin</v>
          </cell>
          <cell r="C710" t="str">
            <v>RPLT</v>
          </cell>
          <cell r="H710">
            <v>0.24808056635764689</v>
          </cell>
          <cell r="I710">
            <v>0.27891137086321527</v>
          </cell>
          <cell r="J710">
            <v>0.2751667782252456</v>
          </cell>
        </row>
        <row r="711">
          <cell r="A711" t="str">
            <v>RHSA-WHPLTBR</v>
          </cell>
          <cell r="B711" t="str">
            <v>VAR_ncap</v>
          </cell>
          <cell r="C711" t="str">
            <v>-</v>
          </cell>
          <cell r="H711">
            <v>4.7558928160252303E-3</v>
          </cell>
          <cell r="I711">
            <v>4.4396836698763296E-3</v>
          </cell>
          <cell r="J711">
            <v>4.1956814322659302E-3</v>
          </cell>
        </row>
        <row r="712">
          <cell r="A712" t="str">
            <v>RHSA-WHPLTBR</v>
          </cell>
          <cell r="B712" t="str">
            <v>VAR_cap</v>
          </cell>
          <cell r="C712" t="str">
            <v>-</v>
          </cell>
          <cell r="H712">
            <v>8.0058056517159221E-3</v>
          </cell>
          <cell r="I712">
            <v>9.1964387586572164E-3</v>
          </cell>
          <cell r="J712">
            <v>9.4290251340536438E-3</v>
          </cell>
        </row>
        <row r="713">
          <cell r="A713" t="str">
            <v>ITOT-SWHCONBR8</v>
          </cell>
          <cell r="B713" t="str">
            <v>VAR_fout</v>
          </cell>
          <cell r="C713" t="str">
            <v>ITOT-ELS</v>
          </cell>
          <cell r="J713">
            <v>1.3130573436428492E-4</v>
          </cell>
        </row>
        <row r="714">
          <cell r="A714" t="str">
            <v>ITOT-SWHCONBR8</v>
          </cell>
          <cell r="B714" t="str">
            <v>VAR_fout</v>
          </cell>
          <cell r="C714" t="str">
            <v>ITOT-SWHC</v>
          </cell>
          <cell r="J714">
            <v>5.0697416282350543E-4</v>
          </cell>
        </row>
        <row r="715">
          <cell r="A715" t="str">
            <v>ITOT-SWHCONBR8</v>
          </cell>
          <cell r="B715" t="str">
            <v>VAR_fin</v>
          </cell>
          <cell r="C715" t="str">
            <v>CON</v>
          </cell>
          <cell r="J715">
            <v>6.382798971877907E-4</v>
          </cell>
        </row>
        <row r="716">
          <cell r="A716" t="str">
            <v>ITOT-SWHCONBR8</v>
          </cell>
          <cell r="B716" t="str">
            <v>VAR_ncap</v>
          </cell>
          <cell r="C716" t="str">
            <v>-</v>
          </cell>
          <cell r="J716">
            <v>3.29068740784339E-5</v>
          </cell>
        </row>
        <row r="717">
          <cell r="A717" t="str">
            <v>ITOT-SWHCONBR8</v>
          </cell>
          <cell r="B717" t="str">
            <v>VAR_cap</v>
          </cell>
          <cell r="C717" t="str">
            <v>-</v>
          </cell>
          <cell r="J717">
            <v>3.29068740784339E-5</v>
          </cell>
        </row>
        <row r="718">
          <cell r="A718" t="str">
            <v>D-SCOM_KEV_HFC_ELC_CHP</v>
          </cell>
          <cell r="B718" t="str">
            <v>VAR_fout</v>
          </cell>
          <cell r="C718" t="str">
            <v>ELC5</v>
          </cell>
          <cell r="H718">
            <v>1.7010578671540579E-3</v>
          </cell>
          <cell r="I718">
            <v>1.719842769302749E-3</v>
          </cell>
          <cell r="J718">
            <v>1.1122963482395143E-3</v>
          </cell>
        </row>
        <row r="719">
          <cell r="A719" t="str">
            <v>D-SCOM_KEV_HFC_ELC_CHP</v>
          </cell>
          <cell r="B719" t="str">
            <v>VAR_fout</v>
          </cell>
          <cell r="C719" t="str">
            <v>SCOM_ELC</v>
          </cell>
          <cell r="H719">
            <v>5.7355575033327683E-3</v>
          </cell>
          <cell r="I719">
            <v>8.9484150720179189E-3</v>
          </cell>
          <cell r="J719">
            <v>1.293876479863779E-2</v>
          </cell>
        </row>
        <row r="720">
          <cell r="A720" t="str">
            <v>D-SCOM_KEV_HFC_ELC_CHP</v>
          </cell>
          <cell r="B720" t="str">
            <v>VAR_fin</v>
          </cell>
          <cell r="C720" t="str">
            <v>SCOM_KEV_HFC_ELC_CHP</v>
          </cell>
          <cell r="H720">
            <v>7.4029796149395763E-3</v>
          </cell>
          <cell r="I720">
            <v>1.0646981541510085E-2</v>
          </cell>
          <cell r="J720">
            <v>1.4029965412039075E-2</v>
          </cell>
        </row>
        <row r="721">
          <cell r="A721" t="str">
            <v>D-EH2R</v>
          </cell>
          <cell r="B721" t="str">
            <v>VAR_fout</v>
          </cell>
          <cell r="C721" t="str">
            <v>EH2</v>
          </cell>
          <cell r="I721">
            <v>5.7895734265462993E-3</v>
          </cell>
          <cell r="J721">
            <v>1.4403934065899614E-2</v>
          </cell>
        </row>
        <row r="722">
          <cell r="A722" t="str">
            <v>D-EH2R</v>
          </cell>
          <cell r="B722" t="str">
            <v>VAR_fin</v>
          </cell>
          <cell r="C722" t="str">
            <v>H2</v>
          </cell>
          <cell r="I722">
            <v>5.7895734265462993E-3</v>
          </cell>
          <cell r="J722">
            <v>1.4403934065899614E-2</v>
          </cell>
        </row>
        <row r="723">
          <cell r="A723" t="str">
            <v>D-EH2R</v>
          </cell>
          <cell r="B723" t="str">
            <v>VAR_ncap</v>
          </cell>
          <cell r="C723" t="str">
            <v>-</v>
          </cell>
          <cell r="H723">
            <v>2.3999876434833399E-6</v>
          </cell>
          <cell r="I723">
            <v>7.4621592698969805E-4</v>
          </cell>
          <cell r="J723">
            <v>9.8218967309664294E-4</v>
          </cell>
        </row>
        <row r="724">
          <cell r="A724" t="str">
            <v>D-EH2R</v>
          </cell>
          <cell r="B724" t="str">
            <v>VAR_cap</v>
          </cell>
          <cell r="C724" t="str">
            <v>-</v>
          </cell>
          <cell r="H724">
            <v>2.3999876434833399E-6</v>
          </cell>
          <cell r="I724">
            <v>7.4664101741691495E-4</v>
          </cell>
          <cell r="J724">
            <v>1.23778448274964E-3</v>
          </cell>
        </row>
        <row r="725">
          <cell r="A725" t="str">
            <v>SCOM-ELCSPECADV</v>
          </cell>
          <cell r="B725" t="str">
            <v>VAR_fout</v>
          </cell>
          <cell r="C725" t="str">
            <v>SCOM-ELS</v>
          </cell>
          <cell r="H725">
            <v>9.5871533595663792</v>
          </cell>
          <cell r="I725">
            <v>11.838992363397002</v>
          </cell>
          <cell r="J725">
            <v>14.885176132140849</v>
          </cell>
        </row>
        <row r="726">
          <cell r="A726" t="str">
            <v>SCOM-ELCSPECADV</v>
          </cell>
          <cell r="B726" t="str">
            <v>VAR_fin</v>
          </cell>
          <cell r="C726" t="str">
            <v>SCOM_ELC</v>
          </cell>
          <cell r="H726">
            <v>6.3914355730442542</v>
          </cell>
          <cell r="I726">
            <v>7.8926615755979999</v>
          </cell>
          <cell r="J726">
            <v>9.9234507547605748</v>
          </cell>
        </row>
        <row r="727">
          <cell r="A727" t="str">
            <v>SCOM-ELCSPECADV</v>
          </cell>
          <cell r="B727" t="str">
            <v>VAR_ncap</v>
          </cell>
          <cell r="C727" t="str">
            <v>-</v>
          </cell>
          <cell r="H727">
            <v>0.25193183610654302</v>
          </cell>
          <cell r="I727">
            <v>0.23801814148838801</v>
          </cell>
          <cell r="J727">
            <v>0.58942688038087299</v>
          </cell>
        </row>
        <row r="728">
          <cell r="A728" t="str">
            <v>SCOM-ELCSPECADV</v>
          </cell>
          <cell r="B728" t="str">
            <v>VAR_cap</v>
          </cell>
          <cell r="C728" t="str">
            <v>-</v>
          </cell>
          <cell r="H728">
            <v>1.0133548684275622</v>
          </cell>
          <cell r="I728">
            <v>1.2513725650826684</v>
          </cell>
          <cell r="J728">
            <v>1.5733524160843804</v>
          </cell>
        </row>
        <row r="729">
          <cell r="A729" t="str">
            <v>RHSA-WHLTHRD</v>
          </cell>
          <cell r="B729" t="str">
            <v>VAR_fout</v>
          </cell>
          <cell r="C729" t="str">
            <v>RHSA-WHLTHRD</v>
          </cell>
          <cell r="H729">
            <v>1.7106835463170114</v>
          </cell>
          <cell r="I729">
            <v>2.0084042126569108</v>
          </cell>
          <cell r="J729">
            <v>2.2612286531946326</v>
          </cell>
        </row>
        <row r="730">
          <cell r="A730" t="str">
            <v>RHSA-WHLTHRD</v>
          </cell>
          <cell r="B730" t="str">
            <v>VAR_fin</v>
          </cell>
          <cell r="C730" t="str">
            <v>RHSA_LTH</v>
          </cell>
          <cell r="H730">
            <v>3.0164923981679697</v>
          </cell>
          <cell r="I730">
            <v>3.4954656101182091</v>
          </cell>
          <cell r="J730">
            <v>3.846927496073365</v>
          </cell>
        </row>
        <row r="731">
          <cell r="A731" t="str">
            <v>RHSA-WHLTHRD</v>
          </cell>
          <cell r="B731" t="str">
            <v>VAR_ncap</v>
          </cell>
          <cell r="C731" t="str">
            <v>-</v>
          </cell>
          <cell r="H731">
            <v>0.100696695868586</v>
          </cell>
          <cell r="I731">
            <v>0.107838003602159</v>
          </cell>
          <cell r="J731">
            <v>0.10071522428714599</v>
          </cell>
        </row>
        <row r="732">
          <cell r="A732" t="str">
            <v>RHSA-WHLTHRD</v>
          </cell>
          <cell r="B732" t="str">
            <v>VAR_cap</v>
          </cell>
          <cell r="C732" t="str">
            <v>-</v>
          </cell>
          <cell r="H732">
            <v>0.18205254849181296</v>
          </cell>
          <cell r="I732">
            <v>0.23503572788406496</v>
          </cell>
          <cell r="J732">
            <v>0.26461966217423505</v>
          </cell>
        </row>
        <row r="733">
          <cell r="A733" t="str">
            <v>RHES-SHCONBR7</v>
          </cell>
          <cell r="B733" t="str">
            <v>VAR_fout</v>
          </cell>
          <cell r="C733" t="str">
            <v>RHES-SHCON</v>
          </cell>
          <cell r="H733">
            <v>3.7740414836784825E-4</v>
          </cell>
          <cell r="I733">
            <v>3.8840433464790939E-4</v>
          </cell>
          <cell r="J733">
            <v>2.6014461654251054E-4</v>
          </cell>
        </row>
        <row r="734">
          <cell r="A734" t="str">
            <v>RHES-SHCONBR7</v>
          </cell>
          <cell r="B734" t="str">
            <v>VAR_fin</v>
          </cell>
          <cell r="C734" t="str">
            <v>CON</v>
          </cell>
          <cell r="H734">
            <v>3.7740414836784825E-4</v>
          </cell>
          <cell r="I734">
            <v>3.8840433464790939E-4</v>
          </cell>
          <cell r="J734">
            <v>2.6014461654251054E-4</v>
          </cell>
        </row>
        <row r="735">
          <cell r="A735" t="str">
            <v>RHES-SHCONBR7</v>
          </cell>
          <cell r="B735" t="str">
            <v>VAR_ncap</v>
          </cell>
          <cell r="C735" t="str">
            <v>-</v>
          </cell>
          <cell r="H735">
            <v>5.9684353673291194E-8</v>
          </cell>
          <cell r="I735">
            <v>5.2184030812621402E-8</v>
          </cell>
          <cell r="J735">
            <v>9.2856231764600097E-8</v>
          </cell>
        </row>
        <row r="736">
          <cell r="A736" t="str">
            <v>RHES-SHCONBR7</v>
          </cell>
          <cell r="B736" t="str">
            <v>VAR_cap</v>
          </cell>
          <cell r="C736" t="str">
            <v>-</v>
          </cell>
          <cell r="H736">
            <v>3.6297085965759103E-5</v>
          </cell>
          <cell r="I736">
            <v>3.6330632368637407E-5</v>
          </cell>
          <cell r="J736">
            <v>2.1222018761323981E-5</v>
          </cell>
        </row>
        <row r="737">
          <cell r="A737" t="str">
            <v>ITOT-SWHCONBR9</v>
          </cell>
          <cell r="B737" t="str">
            <v>VAR_fout</v>
          </cell>
          <cell r="C737" t="str">
            <v>ITOT-ELS</v>
          </cell>
          <cell r="J737">
            <v>6.1472642915130608E-5</v>
          </cell>
        </row>
        <row r="738">
          <cell r="A738" t="str">
            <v>ITOT-SWHCONBR9</v>
          </cell>
          <cell r="B738" t="str">
            <v>VAR_fout</v>
          </cell>
          <cell r="C738" t="str">
            <v>ITOT-SWHC</v>
          </cell>
          <cell r="J738">
            <v>3.5678685297863791E-4</v>
          </cell>
        </row>
        <row r="739">
          <cell r="A739" t="str">
            <v>ITOT-SWHCONBR9</v>
          </cell>
          <cell r="B739" t="str">
            <v>VAR_fin</v>
          </cell>
          <cell r="C739" t="str">
            <v>CON</v>
          </cell>
          <cell r="J739">
            <v>4.1825949589376841E-4</v>
          </cell>
        </row>
        <row r="740">
          <cell r="A740" t="str">
            <v>ITOT-SWHCONBR9</v>
          </cell>
          <cell r="B740" t="str">
            <v>VAR_ncap</v>
          </cell>
          <cell r="C740" t="str">
            <v>-</v>
          </cell>
          <cell r="J740">
            <v>2.0934888867694001E-5</v>
          </cell>
        </row>
        <row r="741">
          <cell r="A741" t="str">
            <v>ITOT-SWHCONBR9</v>
          </cell>
          <cell r="B741" t="str">
            <v>VAR_cap</v>
          </cell>
          <cell r="C741" t="str">
            <v>-</v>
          </cell>
          <cell r="J741">
            <v>2.0934888867694001E-5</v>
          </cell>
        </row>
        <row r="742">
          <cell r="A742" t="str">
            <v>SCOM-SHPLTBR</v>
          </cell>
          <cell r="B742" t="str">
            <v>VAR_fout</v>
          </cell>
          <cell r="C742" t="str">
            <v>SCOM-SHPLT</v>
          </cell>
          <cell r="H742">
            <v>0.53234852514880171</v>
          </cell>
          <cell r="I742">
            <v>0.69022348466093519</v>
          </cell>
          <cell r="J742">
            <v>0.7260462576857678</v>
          </cell>
        </row>
        <row r="743">
          <cell r="A743" t="str">
            <v>SCOM-SHPLTBR</v>
          </cell>
          <cell r="B743" t="str">
            <v>VAR_fin</v>
          </cell>
          <cell r="C743" t="str">
            <v>SCOMPLTBRC</v>
          </cell>
          <cell r="H743">
            <v>0.53234852514880171</v>
          </cell>
          <cell r="I743">
            <v>0.69022348466093519</v>
          </cell>
          <cell r="J743">
            <v>0.7260462576857678</v>
          </cell>
        </row>
        <row r="744">
          <cell r="A744" t="str">
            <v>SCOM-SHPLTBR</v>
          </cell>
          <cell r="B744" t="str">
            <v>VAR_fin</v>
          </cell>
          <cell r="C744" t="str">
            <v>SPLT</v>
          </cell>
          <cell r="H744">
            <v>0.80003452310482681</v>
          </cell>
          <cell r="I744">
            <v>1.0209142697046476</v>
          </cell>
          <cell r="J744">
            <v>1.0644082415949554</v>
          </cell>
        </row>
        <row r="745">
          <cell r="A745" t="str">
            <v>SCOM-SHPLTBR</v>
          </cell>
          <cell r="B745" t="str">
            <v>VAR_ncap</v>
          </cell>
          <cell r="C745" t="str">
            <v>-</v>
          </cell>
          <cell r="H745">
            <v>2.2820805474996299E-2</v>
          </cell>
          <cell r="I745">
            <v>3.4435102307380401E-2</v>
          </cell>
          <cell r="J745">
            <v>2.6309695282279201E-2</v>
          </cell>
        </row>
        <row r="746">
          <cell r="A746" t="str">
            <v>SCOM-SHPLTBR</v>
          </cell>
          <cell r="B746" t="str">
            <v>VAR_cap</v>
          </cell>
          <cell r="C746" t="str">
            <v>-</v>
          </cell>
          <cell r="H746">
            <v>4.392389339689369E-2</v>
          </cell>
          <cell r="I746">
            <v>5.7258485214438354E-2</v>
          </cell>
          <cell r="J746">
            <v>6.0952525646435982E-2</v>
          </cell>
        </row>
        <row r="747">
          <cell r="A747" t="str">
            <v>ITOT-SWHELCHP</v>
          </cell>
          <cell r="B747" t="str">
            <v>VAR_fout</v>
          </cell>
          <cell r="C747" t="str">
            <v>ITOT-SWHAELCH</v>
          </cell>
          <cell r="H747">
            <v>8.3343983206374741</v>
          </cell>
          <cell r="I747">
            <v>9.8302755892295206</v>
          </cell>
          <cell r="J747">
            <v>12.925242661824159</v>
          </cell>
        </row>
        <row r="748">
          <cell r="A748" t="str">
            <v>ITOT-SWHELCHP</v>
          </cell>
          <cell r="B748" t="str">
            <v>VAR_fin</v>
          </cell>
          <cell r="C748" t="str">
            <v>ITOT_ELC</v>
          </cell>
          <cell r="H748">
            <v>2.5525237924967601</v>
          </cell>
          <cell r="I748">
            <v>2.9550935138615912</v>
          </cell>
          <cell r="J748">
            <v>3.7471644212437751</v>
          </cell>
        </row>
        <row r="749">
          <cell r="A749" t="str">
            <v>ITOT-SWHELCHP</v>
          </cell>
          <cell r="B749" t="str">
            <v>VAR_fin</v>
          </cell>
          <cell r="C749" t="str">
            <v>ITOTELCHPC</v>
          </cell>
          <cell r="H749">
            <v>8.3343983206374741</v>
          </cell>
          <cell r="I749">
            <v>9.8302755892295206</v>
          </cell>
          <cell r="J749">
            <v>12.925242661824159</v>
          </cell>
        </row>
        <row r="750">
          <cell r="A750" t="str">
            <v>ITOT-SWHELCHP</v>
          </cell>
          <cell r="B750" t="str">
            <v>VAR_ncap</v>
          </cell>
          <cell r="C750" t="str">
            <v>-</v>
          </cell>
          <cell r="H750">
            <v>0.173276472212362</v>
          </cell>
          <cell r="I750">
            <v>0.21948655242111301</v>
          </cell>
          <cell r="J750">
            <v>0.482460040291949</v>
          </cell>
        </row>
        <row r="751">
          <cell r="A751" t="str">
            <v>ITOT-SWHELCHP</v>
          </cell>
          <cell r="B751" t="str">
            <v>VAR_cap</v>
          </cell>
          <cell r="C751" t="str">
            <v>-</v>
          </cell>
          <cell r="H751">
            <v>0.45480503876628608</v>
          </cell>
          <cell r="I751">
            <v>0.54509072027554617</v>
          </cell>
          <cell r="J751">
            <v>0.71504029758676058</v>
          </cell>
        </row>
        <row r="752">
          <cell r="A752" t="str">
            <v>RHES-SHCONBR8</v>
          </cell>
          <cell r="B752" t="str">
            <v>VAR_fout</v>
          </cell>
          <cell r="C752" t="str">
            <v>RHES-SHCON</v>
          </cell>
          <cell r="H752">
            <v>9.6112872110865855E-5</v>
          </cell>
          <cell r="I752">
            <v>9.1065016518852661E-5</v>
          </cell>
          <cell r="J752">
            <v>6.7307994256067205E-5</v>
          </cell>
        </row>
        <row r="753">
          <cell r="A753" t="str">
            <v>RHES-SHCONBR8</v>
          </cell>
          <cell r="B753" t="str">
            <v>VAR_fin</v>
          </cell>
          <cell r="C753" t="str">
            <v>CON</v>
          </cell>
          <cell r="H753">
            <v>9.6112872110865855E-5</v>
          </cell>
          <cell r="I753">
            <v>9.1065016518852661E-5</v>
          </cell>
          <cell r="J753">
            <v>6.7307994256067205E-5</v>
          </cell>
        </row>
        <row r="754">
          <cell r="A754" t="str">
            <v>RHES-SHCONBR8</v>
          </cell>
          <cell r="B754" t="str">
            <v>VAR_ncap</v>
          </cell>
          <cell r="C754" t="str">
            <v>-</v>
          </cell>
          <cell r="H754">
            <v>3.9621299444842997E-8</v>
          </cell>
          <cell r="I754">
            <v>3.0630703915431301E-8</v>
          </cell>
          <cell r="J754">
            <v>4.3913088986823399E-8</v>
          </cell>
        </row>
        <row r="755">
          <cell r="A755" t="str">
            <v>RHES-SHCONBR8</v>
          </cell>
          <cell r="B755" t="str">
            <v>VAR_cap</v>
          </cell>
          <cell r="C755" t="str">
            <v>-</v>
          </cell>
          <cell r="H755">
            <v>4.6745057227624119E-6</v>
          </cell>
          <cell r="I755">
            <v>4.6879062635325991E-6</v>
          </cell>
          <cell r="J755">
            <v>2.9847254840972789E-6</v>
          </cell>
        </row>
        <row r="756">
          <cell r="A756" t="str">
            <v>RHEM-SHWODBR</v>
          </cell>
          <cell r="B756" t="str">
            <v>VAR_fout</v>
          </cell>
          <cell r="C756" t="str">
            <v>RHEM-SHWOD</v>
          </cell>
          <cell r="H756">
            <v>3.9404114401072152</v>
          </cell>
          <cell r="I756">
            <v>3.3568478768746681</v>
          </cell>
          <cell r="J756">
            <v>2.0235071836655525</v>
          </cell>
        </row>
        <row r="757">
          <cell r="A757" t="str">
            <v>RHEM-SHWODBR</v>
          </cell>
          <cell r="B757" t="str">
            <v>VAR_fin</v>
          </cell>
          <cell r="C757" t="str">
            <v>RHEMWODBRC</v>
          </cell>
          <cell r="H757">
            <v>3.9404114401072152</v>
          </cell>
          <cell r="I757">
            <v>3.3568478768746681</v>
          </cell>
          <cell r="J757">
            <v>2.0235071836655525</v>
          </cell>
        </row>
        <row r="758">
          <cell r="A758" t="str">
            <v>RHEM-SHWODBR</v>
          </cell>
          <cell r="B758" t="str">
            <v>VAR_fin</v>
          </cell>
          <cell r="C758" t="str">
            <v>RWOD</v>
          </cell>
          <cell r="H758">
            <v>5.4311227863519482</v>
          </cell>
          <cell r="I758">
            <v>4.6267891745627203</v>
          </cell>
          <cell r="J758">
            <v>2.7002438122289734</v>
          </cell>
        </row>
        <row r="759">
          <cell r="A759" t="str">
            <v>RHEM-SHWODBR</v>
          </cell>
          <cell r="B759" t="str">
            <v>VAR_ncap</v>
          </cell>
          <cell r="C759" t="str">
            <v>-</v>
          </cell>
          <cell r="H759">
            <v>0.18389803893308701</v>
          </cell>
          <cell r="I759">
            <v>5.98695001207456E-2</v>
          </cell>
          <cell r="J759">
            <v>2.2113924147257501E-2</v>
          </cell>
        </row>
        <row r="760">
          <cell r="A760" t="str">
            <v>RHEM-SHWODBR</v>
          </cell>
          <cell r="B760" t="str">
            <v>VAR_cap</v>
          </cell>
          <cell r="C760" t="str">
            <v>-</v>
          </cell>
          <cell r="H760">
            <v>0.27838283819259474</v>
          </cell>
          <cell r="I760">
            <v>0.24376878126712265</v>
          </cell>
          <cell r="J760">
            <v>0.14335061027776697</v>
          </cell>
        </row>
        <row r="761">
          <cell r="A761" t="str">
            <v>RHES-SHCONBR9</v>
          </cell>
          <cell r="B761" t="str">
            <v>VAR_fout</v>
          </cell>
          <cell r="C761" t="str">
            <v>RHES-SHCON</v>
          </cell>
          <cell r="H761">
            <v>6.1992349083416672E-5</v>
          </cell>
          <cell r="I761">
            <v>5.3613692235770119E-5</v>
          </cell>
          <cell r="J761">
            <v>3.9098740896969139E-5</v>
          </cell>
        </row>
        <row r="762">
          <cell r="A762" t="str">
            <v>RHES-SHCONBR9</v>
          </cell>
          <cell r="B762" t="str">
            <v>VAR_fin</v>
          </cell>
          <cell r="C762" t="str">
            <v>CON</v>
          </cell>
          <cell r="H762">
            <v>6.1992349083416672E-5</v>
          </cell>
          <cell r="I762">
            <v>5.3613692235770119E-5</v>
          </cell>
          <cell r="J762">
            <v>3.9098740896969139E-5</v>
          </cell>
        </row>
        <row r="763">
          <cell r="A763" t="str">
            <v>RHES-SHCONBR9</v>
          </cell>
          <cell r="B763" t="str">
            <v>VAR_ncap</v>
          </cell>
          <cell r="C763" t="str">
            <v>-</v>
          </cell>
          <cell r="J763">
            <v>1.04619891594197E-8</v>
          </cell>
        </row>
        <row r="764">
          <cell r="A764" t="str">
            <v>RHES-SHCONBR9</v>
          </cell>
          <cell r="B764" t="str">
            <v>VAR_cap</v>
          </cell>
          <cell r="C764" t="str">
            <v>-</v>
          </cell>
          <cell r="H764">
            <v>-6.0682692201217397E-8</v>
          </cell>
          <cell r="I764">
            <v>-7.1604608765601389E-8</v>
          </cell>
          <cell r="J764">
            <v>-2.5140265336234603E-8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RHSA_LTH</v>
          </cell>
          <cell r="H765">
            <v>3.9582150893142567E-3</v>
          </cell>
          <cell r="I765">
            <v>2.0115311737520956E-3</v>
          </cell>
          <cell r="J765">
            <v>1.5866891800240066E-5</v>
          </cell>
        </row>
        <row r="766">
          <cell r="A766" t="str">
            <v>D-RHNS_LTH_CHPNGA</v>
          </cell>
          <cell r="B766" t="str">
            <v>VAR_fout</v>
          </cell>
          <cell r="C766" t="str">
            <v>LTH</v>
          </cell>
          <cell r="H766">
            <v>2.6293208603639263E-6</v>
          </cell>
          <cell r="I766">
            <v>1.68151263128973E-6</v>
          </cell>
          <cell r="J766">
            <v>1.0219406989093599E-5</v>
          </cell>
        </row>
        <row r="767">
          <cell r="A767" t="str">
            <v>D-RHNS_LTH_CHPNGA</v>
          </cell>
          <cell r="B767" t="str">
            <v>VAR_fout</v>
          </cell>
          <cell r="C767" t="str">
            <v>RHNS_LTH_CHPNGA_ON</v>
          </cell>
          <cell r="I767">
            <v>1.2776927269658186E-4</v>
          </cell>
          <cell r="J767">
            <v>8.5641782186373454E-6</v>
          </cell>
        </row>
        <row r="768">
          <cell r="A768" t="str">
            <v>D-RHNS_LTH_CHPNGA</v>
          </cell>
          <cell r="B768" t="str">
            <v>VAR_fin</v>
          </cell>
          <cell r="C768" t="str">
            <v>RHNS_LTH_CHPNGA</v>
          </cell>
          <cell r="H768">
            <v>3.9623381995897355E-3</v>
          </cell>
          <cell r="I768">
            <v>2.1425661084583294E-3</v>
          </cell>
          <cell r="J768">
            <v>3.4650477007970973E-5</v>
          </cell>
        </row>
        <row r="769">
          <cell r="A769" t="str">
            <v>D-SLFO</v>
          </cell>
          <cell r="B769" t="str">
            <v>VAR_fout</v>
          </cell>
          <cell r="C769" t="str">
            <v>CO2</v>
          </cell>
          <cell r="H769">
            <v>882.50992071701103</v>
          </cell>
          <cell r="I769">
            <v>507.41084251406897</v>
          </cell>
          <cell r="J769">
            <v>6.8499625310039795E-4</v>
          </cell>
        </row>
        <row r="770">
          <cell r="A770" t="str">
            <v>D-SLFO</v>
          </cell>
          <cell r="B770" t="str">
            <v>VAR_fout</v>
          </cell>
          <cell r="C770" t="str">
            <v>SLFO</v>
          </cell>
          <cell r="H770">
            <v>11.775886115214812</v>
          </cell>
          <cell r="I770">
            <v>6.7708974899819578</v>
          </cell>
          <cell r="J770">
            <v>1.2715856029266797</v>
          </cell>
        </row>
        <row r="771">
          <cell r="A771" t="str">
            <v>D-SLFO</v>
          </cell>
          <cell r="B771" t="str">
            <v>VAR_fin</v>
          </cell>
          <cell r="C771" t="str">
            <v>LFO</v>
          </cell>
          <cell r="H771">
            <v>11.97435441949813</v>
          </cell>
          <cell r="I771">
            <v>6.8848146881149059</v>
          </cell>
          <cell r="J771">
            <v>9.2943860664911601E-6</v>
          </cell>
        </row>
        <row r="772">
          <cell r="A772" t="str">
            <v>D-SLFO</v>
          </cell>
          <cell r="B772" t="str">
            <v>VAR_fin</v>
          </cell>
          <cell r="C772" t="str">
            <v>BDS</v>
          </cell>
          <cell r="H772">
            <v>1.546779672945815E-3</v>
          </cell>
          <cell r="I772">
            <v>1.0877135258887962E-3</v>
          </cell>
          <cell r="J772">
            <v>1.2931766321150597</v>
          </cell>
        </row>
        <row r="773">
          <cell r="A773" t="str">
            <v>D-RCOA</v>
          </cell>
          <cell r="B773" t="str">
            <v>VAR_fout</v>
          </cell>
          <cell r="C773" t="str">
            <v>CO2</v>
          </cell>
        </row>
        <row r="774">
          <cell r="A774" t="str">
            <v>D-RCOA</v>
          </cell>
          <cell r="B774" t="str">
            <v>VAR_fout</v>
          </cell>
          <cell r="C774" t="str">
            <v>RCOA</v>
          </cell>
        </row>
        <row r="775">
          <cell r="A775" t="str">
            <v>D-RCOA</v>
          </cell>
          <cell r="B775" t="str">
            <v>VAR_fin</v>
          </cell>
          <cell r="C775" t="str">
            <v>COA</v>
          </cell>
        </row>
        <row r="776">
          <cell r="A776" t="str">
            <v>SCOM-ELCSPECDC</v>
          </cell>
          <cell r="B776" t="str">
            <v>VAR_fout</v>
          </cell>
          <cell r="C776" t="str">
            <v>SCOM-ELSDC</v>
          </cell>
          <cell r="H776">
            <v>13.28519418692205</v>
          </cell>
          <cell r="I776">
            <v>13.31676932813561</v>
          </cell>
          <cell r="J776">
            <v>13.041047897451111</v>
          </cell>
        </row>
        <row r="777">
          <cell r="A777" t="str">
            <v>SCOM-ELCSPECDC</v>
          </cell>
          <cell r="B777" t="str">
            <v>VAR_fin</v>
          </cell>
          <cell r="C777" t="str">
            <v>SCOM_ELC</v>
          </cell>
          <cell r="H777">
            <v>13.28519418692205</v>
          </cell>
          <cell r="I777">
            <v>13.31676932813561</v>
          </cell>
          <cell r="J777">
            <v>13.041047897451111</v>
          </cell>
        </row>
        <row r="778">
          <cell r="A778" t="str">
            <v>D-RHEM_KEV_WOD_ELC_CHP</v>
          </cell>
          <cell r="B778" t="str">
            <v>VAR_fout</v>
          </cell>
          <cell r="C778" t="str">
            <v>ELC5</v>
          </cell>
          <cell r="H778">
            <v>2.9547021909280117E-3</v>
          </cell>
          <cell r="I778">
            <v>4.8702688635096185E-3</v>
          </cell>
          <cell r="J778">
            <v>2.0673683910847579E-3</v>
          </cell>
        </row>
        <row r="779">
          <cell r="A779" t="str">
            <v>D-RHEM_KEV_WOD_ELC_CHP</v>
          </cell>
          <cell r="B779" t="str">
            <v>VAR_fout</v>
          </cell>
          <cell r="C779" t="str">
            <v>RHEM_ELC</v>
          </cell>
          <cell r="H779">
            <v>0.17675723928153858</v>
          </cell>
          <cell r="I779">
            <v>0.37566410090627694</v>
          </cell>
          <cell r="J779">
            <v>0.14510724859861535</v>
          </cell>
        </row>
        <row r="780">
          <cell r="A780" t="str">
            <v>D-RHEM_KEV_WOD_ELC_CHP</v>
          </cell>
          <cell r="B780" t="str">
            <v>VAR_fin</v>
          </cell>
          <cell r="C780" t="str">
            <v>RHEM_KEV_WOD_ELC_CHP</v>
          </cell>
          <cell r="H780">
            <v>0.17968751351700391</v>
          </cell>
          <cell r="I780">
            <v>0.38051015835477109</v>
          </cell>
          <cell r="J780">
            <v>0.14715504885738492</v>
          </cell>
        </row>
        <row r="781">
          <cell r="A781" t="str">
            <v>RHES-SHSTG-SOL</v>
          </cell>
          <cell r="B781" t="str">
            <v>VAR_fout</v>
          </cell>
          <cell r="C781" t="str">
            <v>AUX_RHES-SHSTG-SOL_OUT</v>
          </cell>
          <cell r="H781">
            <v>1.028306670009462E-2</v>
          </cell>
          <cell r="I781">
            <v>3.5645329615298796E-3</v>
          </cell>
          <cell r="J781">
            <v>2.9516564870275199E-3</v>
          </cell>
        </row>
        <row r="782">
          <cell r="A782" t="str">
            <v>RHES-SHSTG-SOL</v>
          </cell>
          <cell r="B782" t="str">
            <v>VAR_fout</v>
          </cell>
          <cell r="C782" t="str">
            <v>RHES-SHASOL</v>
          </cell>
          <cell r="H782">
            <v>1.0272793906188434E-2</v>
          </cell>
          <cell r="I782">
            <v>3.5609719895403394E-3</v>
          </cell>
          <cell r="J782">
            <v>2.9487077792482719E-3</v>
          </cell>
        </row>
        <row r="783">
          <cell r="A783" t="str">
            <v>RHES-SHSTG-SOL</v>
          </cell>
          <cell r="B783" t="str">
            <v>VAR_fin</v>
          </cell>
          <cell r="C783" t="str">
            <v>RHES-SHASOL</v>
          </cell>
          <cell r="H783">
            <v>1.0265969332303504E-2</v>
          </cell>
          <cell r="I783">
            <v>3.5567232788729112E-3</v>
          </cell>
          <cell r="J783">
            <v>2.9428254172242162E-3</v>
          </cell>
        </row>
        <row r="784">
          <cell r="A784" t="str">
            <v>RHES-SHSTG-SOL</v>
          </cell>
          <cell r="B784" t="str">
            <v>VAR_ncap</v>
          </cell>
          <cell r="C784" t="str">
            <v>-</v>
          </cell>
          <cell r="H784">
            <v>3.5819404238533601E-4</v>
          </cell>
          <cell r="I784">
            <v>2.3800218635628201E-4</v>
          </cell>
          <cell r="J784">
            <v>2.1701894332628999E-4</v>
          </cell>
        </row>
        <row r="785">
          <cell r="A785" t="str">
            <v>RHES-SHSTG-SOL</v>
          </cell>
          <cell r="B785" t="str">
            <v>VAR_cap</v>
          </cell>
          <cell r="C785" t="str">
            <v>-</v>
          </cell>
          <cell r="H785">
            <v>3.26348259242429E-3</v>
          </cell>
          <cell r="I785">
            <v>5.97062328724709E-4</v>
          </cell>
          <cell r="J785">
            <v>5.4125927279282803E-4</v>
          </cell>
        </row>
        <row r="786">
          <cell r="A786" t="str">
            <v>D-ITOT_LTH</v>
          </cell>
          <cell r="B786" t="str">
            <v>VAR_fout</v>
          </cell>
          <cell r="C786" t="str">
            <v>ITOT_LTH_DH</v>
          </cell>
          <cell r="H786">
            <v>7.6289208385150111</v>
          </cell>
          <cell r="I786">
            <v>7.6289349249741294</v>
          </cell>
          <cell r="J786">
            <v>9.2971242711297979</v>
          </cell>
        </row>
        <row r="787">
          <cell r="A787" t="str">
            <v>D-ITOT_LTH</v>
          </cell>
          <cell r="B787" t="str">
            <v>VAR_fin</v>
          </cell>
          <cell r="C787" t="str">
            <v>LTH</v>
          </cell>
          <cell r="H787">
            <v>8.2772771111959642</v>
          </cell>
          <cell r="I787">
            <v>8.2718667967593777</v>
          </cell>
          <cell r="J787">
            <v>10.067445524784524</v>
          </cell>
        </row>
        <row r="788">
          <cell r="A788" t="str">
            <v>D-ITOT_LTH</v>
          </cell>
          <cell r="B788" t="str">
            <v>VAR_ncap</v>
          </cell>
          <cell r="C788" t="str">
            <v>-</v>
          </cell>
          <cell r="H788">
            <v>1.93356785494637E-7</v>
          </cell>
          <cell r="I788">
            <v>2.24303877601018E-7</v>
          </cell>
          <cell r="J788">
            <v>2.7539100345487498E-7</v>
          </cell>
        </row>
        <row r="789">
          <cell r="A789" t="str">
            <v>D-ITOT_LTH</v>
          </cell>
          <cell r="B789" t="str">
            <v>VAR_cap</v>
          </cell>
          <cell r="C789" t="str">
            <v>-</v>
          </cell>
          <cell r="H789">
            <v>0.79547318124454702</v>
          </cell>
          <cell r="I789">
            <v>0.79547340554842505</v>
          </cell>
          <cell r="J789">
            <v>0.79547368093942805</v>
          </cell>
        </row>
        <row r="790">
          <cell r="A790" t="str">
            <v>D-IH2</v>
          </cell>
          <cell r="B790" t="str">
            <v>VAR_fout</v>
          </cell>
          <cell r="C790" t="str">
            <v>IH2</v>
          </cell>
          <cell r="H790">
            <v>1.7805229167453516</v>
          </cell>
          <cell r="I790">
            <v>1.981043602099688</v>
          </cell>
          <cell r="J790">
            <v>2.6857958849315215</v>
          </cell>
        </row>
        <row r="791">
          <cell r="A791" t="str">
            <v>D-IH2</v>
          </cell>
          <cell r="B791" t="str">
            <v>VAR_fin</v>
          </cell>
          <cell r="C791" t="str">
            <v>H2</v>
          </cell>
          <cell r="H791">
            <v>1.7940876312006888</v>
          </cell>
          <cell r="I791">
            <v>1.9961359609417582</v>
          </cell>
          <cell r="J791">
            <v>2.7062573201210256</v>
          </cell>
        </row>
        <row r="792">
          <cell r="A792" t="str">
            <v>D-IH2</v>
          </cell>
          <cell r="B792" t="str">
            <v>VAR_ncap</v>
          </cell>
          <cell r="C792" t="str">
            <v>-</v>
          </cell>
          <cell r="H792">
            <v>7.1000105635158794E-2</v>
          </cell>
          <cell r="I792">
            <v>0.27556326670189901</v>
          </cell>
          <cell r="J792">
            <v>2.7129373103634599E-2</v>
          </cell>
        </row>
        <row r="793">
          <cell r="A793" t="str">
            <v>D-IH2</v>
          </cell>
          <cell r="B793" t="str">
            <v>VAR_cap</v>
          </cell>
          <cell r="C793" t="str">
            <v>-</v>
          </cell>
          <cell r="H793">
            <v>7.10014368796789E-2</v>
          </cell>
          <cell r="I793">
            <v>0.34656470358157798</v>
          </cell>
          <cell r="J793">
            <v>0.37369407668521298</v>
          </cell>
        </row>
        <row r="794">
          <cell r="A794" t="str">
            <v>D-RHNM_LTH_CHPWOD</v>
          </cell>
          <cell r="B794" t="str">
            <v>VAR_fout</v>
          </cell>
          <cell r="C794" t="str">
            <v>RHNM_LTH_CHPWOD_ON</v>
          </cell>
          <cell r="I794">
            <v>0.34431970160553915</v>
          </cell>
        </row>
        <row r="795">
          <cell r="A795" t="str">
            <v>D-RHNM_LTH_CHPWOD</v>
          </cell>
          <cell r="B795" t="str">
            <v>VAR_fout</v>
          </cell>
          <cell r="C795" t="str">
            <v>RHSA_LTH</v>
          </cell>
          <cell r="H795">
            <v>0.45761688576889925</v>
          </cell>
          <cell r="I795">
            <v>0.64381470391790152</v>
          </cell>
          <cell r="J795">
            <v>0.39242960933422666</v>
          </cell>
        </row>
        <row r="796">
          <cell r="A796" t="str">
            <v>D-RHNM_LTH_CHPWOD</v>
          </cell>
          <cell r="B796" t="str">
            <v>VAR_fout</v>
          </cell>
          <cell r="C796" t="str">
            <v>LTH</v>
          </cell>
          <cell r="H796">
            <v>3.5411242095993403E-4</v>
          </cell>
          <cell r="I796">
            <v>7.0737039711343006E-4</v>
          </cell>
          <cell r="J796">
            <v>3.4355518015597087E-4</v>
          </cell>
        </row>
        <row r="797">
          <cell r="A797" t="str">
            <v>D-RHNM_LTH_CHPWOD</v>
          </cell>
          <cell r="B797" t="str">
            <v>VAR_fin</v>
          </cell>
          <cell r="C797" t="str">
            <v>RHNM_LTH_CHPWOD</v>
          </cell>
          <cell r="H797">
            <v>0.45797099818985915</v>
          </cell>
          <cell r="I797">
            <v>0.98884180666234167</v>
          </cell>
          <cell r="J797">
            <v>0.39277321331210135</v>
          </cell>
        </row>
        <row r="798">
          <cell r="A798" t="str">
            <v>RHNS-SHWODBR</v>
          </cell>
          <cell r="B798" t="str">
            <v>VAR_fout</v>
          </cell>
          <cell r="C798" t="str">
            <v>RHNS-SHWOD</v>
          </cell>
          <cell r="H798">
            <v>8.0085685873934748E-2</v>
          </cell>
          <cell r="I798">
            <v>8.1421880190940987E-2</v>
          </cell>
          <cell r="J798">
            <v>8.2502409481412964E-2</v>
          </cell>
        </row>
        <row r="799">
          <cell r="A799" t="str">
            <v>RHNS-SHWODBR</v>
          </cell>
          <cell r="B799" t="str">
            <v>VAR_fin</v>
          </cell>
          <cell r="C799" t="str">
            <v>RHNSWODBRC</v>
          </cell>
          <cell r="H799">
            <v>8.0085685873934748E-2</v>
          </cell>
          <cell r="I799">
            <v>8.1421880190940987E-2</v>
          </cell>
          <cell r="J799">
            <v>8.2502409481412964E-2</v>
          </cell>
        </row>
        <row r="800">
          <cell r="A800" t="str">
            <v>RHNS-SHWODBR</v>
          </cell>
          <cell r="B800" t="str">
            <v>VAR_fin</v>
          </cell>
          <cell r="C800" t="str">
            <v>RWOD</v>
          </cell>
          <cell r="H800">
            <v>0.10576414391644821</v>
          </cell>
          <cell r="I800">
            <v>0.10737676572968949</v>
          </cell>
          <cell r="J800">
            <v>0.10841832127721157</v>
          </cell>
        </row>
        <row r="801">
          <cell r="A801" t="str">
            <v>RHNS-SHWODBR</v>
          </cell>
          <cell r="B801" t="str">
            <v>VAR_ncap</v>
          </cell>
          <cell r="C801" t="str">
            <v>-</v>
          </cell>
          <cell r="H801">
            <v>1.4251323007145499E-2</v>
          </cell>
        </row>
        <row r="802">
          <cell r="A802" t="str">
            <v>RHNS-SHWODBR</v>
          </cell>
          <cell r="B802" t="str">
            <v>VAR_cap</v>
          </cell>
          <cell r="C802" t="str">
            <v>-</v>
          </cell>
          <cell r="H802">
            <v>1.8004348215076779E-2</v>
          </cell>
          <cell r="I802">
            <v>1.4892650352154656E-2</v>
          </cell>
          <cell r="J802">
            <v>6.0281585189219849E-3</v>
          </cell>
        </row>
        <row r="803">
          <cell r="A803" t="str">
            <v>D-RHNM_NKEV_GAS_ELC_CHP</v>
          </cell>
          <cell r="B803" t="str">
            <v>VAR_fout</v>
          </cell>
          <cell r="C803" t="str">
            <v>ELC5</v>
          </cell>
          <cell r="H803">
            <v>1.7494624499672813E-3</v>
          </cell>
          <cell r="I803">
            <v>9.3221118083847187E-4</v>
          </cell>
        </row>
        <row r="804">
          <cell r="A804" t="str">
            <v>D-RHNM_NKEV_GAS_ELC_CHP</v>
          </cell>
          <cell r="B804" t="str">
            <v>VAR_fout</v>
          </cell>
          <cell r="C804" t="str">
            <v>RHNM_ELC</v>
          </cell>
          <cell r="H804">
            <v>4.8075237997422266E-3</v>
          </cell>
          <cell r="I804">
            <v>1.4822299991815305E-3</v>
          </cell>
        </row>
        <row r="805">
          <cell r="A805" t="str">
            <v>D-RHNM_NKEV_GAS_ELC_CHP</v>
          </cell>
          <cell r="B805" t="str">
            <v>VAR_fin</v>
          </cell>
          <cell r="C805" t="str">
            <v>RHNM_NKEV_GAS_ELC_CHP</v>
          </cell>
          <cell r="H805">
            <v>6.5204947894462488E-3</v>
          </cell>
          <cell r="I805">
            <v>2.3929160468217255E-3</v>
          </cell>
        </row>
        <row r="806">
          <cell r="A806" t="str">
            <v>D-RLFO</v>
          </cell>
          <cell r="B806" t="str">
            <v>VAR_fout</v>
          </cell>
          <cell r="C806" t="str">
            <v>CO2</v>
          </cell>
          <cell r="H806">
            <v>1206.75144968785</v>
          </cell>
          <cell r="I806">
            <v>509.36703206896198</v>
          </cell>
          <cell r="J806">
            <v>8.0987526642464899E-4</v>
          </cell>
        </row>
        <row r="807">
          <cell r="A807" t="str">
            <v>D-RLFO</v>
          </cell>
          <cell r="B807" t="str">
            <v>VAR_fout</v>
          </cell>
          <cell r="C807" t="str">
            <v>RLFO</v>
          </cell>
          <cell r="H807">
            <v>16.101893122393438</v>
          </cell>
          <cell r="I807">
            <v>6.7970016544948848</v>
          </cell>
          <cell r="J807">
            <v>1.0427186961691888</v>
          </cell>
        </row>
        <row r="808">
          <cell r="A808" t="str">
            <v>D-RLFO</v>
          </cell>
          <cell r="B808" t="str">
            <v>VAR_fin</v>
          </cell>
          <cell r="C808" t="str">
            <v>LFO</v>
          </cell>
          <cell r="H808">
            <v>16.373832424529866</v>
          </cell>
          <cell r="I808">
            <v>6.9113572872315006</v>
          </cell>
          <cell r="J808">
            <v>1.0988809585137694E-5</v>
          </cell>
        </row>
        <row r="809">
          <cell r="A809" t="str">
            <v>D-RLFO</v>
          </cell>
          <cell r="B809" t="str">
            <v>VAR_fin</v>
          </cell>
          <cell r="C809" t="str">
            <v>BDS</v>
          </cell>
          <cell r="H809">
            <v>1.5489306996865242E-3</v>
          </cell>
          <cell r="I809">
            <v>1.0904729780255632E-3</v>
          </cell>
          <cell r="J809">
            <v>1.0604260232393916</v>
          </cell>
        </row>
        <row r="810">
          <cell r="A810" t="str">
            <v>D-SCOM_LTH_CHPBIO</v>
          </cell>
          <cell r="B810" t="str">
            <v>VAR_fout</v>
          </cell>
          <cell r="C810" t="str">
            <v>SCOM_LTH_CHPBIO_ON</v>
          </cell>
        </row>
        <row r="811">
          <cell r="A811" t="str">
            <v>D-SCOM_LTH_CHPBIO</v>
          </cell>
          <cell r="B811" t="str">
            <v>VAR_fout</v>
          </cell>
          <cell r="C811" t="str">
            <v>LTH</v>
          </cell>
        </row>
        <row r="812">
          <cell r="A812" t="str">
            <v>D-SCOM_LTH_CHPBIO</v>
          </cell>
          <cell r="B812" t="str">
            <v>VAR_fin</v>
          </cell>
          <cell r="C812" t="str">
            <v>SCOM_LTH_CHPBIO</v>
          </cell>
        </row>
        <row r="813">
          <cell r="A813" t="str">
            <v>D-SCOM_NKEV_GAS_ELC_CHP</v>
          </cell>
          <cell r="B813" t="str">
            <v>VAR_fout</v>
          </cell>
          <cell r="C813" t="str">
            <v>ELC5</v>
          </cell>
          <cell r="H813">
            <v>1.8902191848659952E-3</v>
          </cell>
          <cell r="I813">
            <v>6.9626075876365822E-4</v>
          </cell>
        </row>
        <row r="814">
          <cell r="A814" t="str">
            <v>D-SCOM_NKEV_GAS_ELC_CHP</v>
          </cell>
          <cell r="B814" t="str">
            <v>VAR_fout</v>
          </cell>
          <cell r="C814" t="str">
            <v>SCOM_ELC</v>
          </cell>
          <cell r="H814">
            <v>7.0254358661441798E-3</v>
          </cell>
          <cell r="I814">
            <v>9.543953807342431E-4</v>
          </cell>
        </row>
        <row r="815">
          <cell r="A815" t="str">
            <v>D-SCOM_NKEV_GAS_ELC_CHP</v>
          </cell>
          <cell r="B815" t="str">
            <v>VAR_fin</v>
          </cell>
          <cell r="C815" t="str">
            <v>SCOM_NKEV_GAS_ELC_CHP</v>
          </cell>
          <cell r="H815">
            <v>8.8820192954629264E-3</v>
          </cell>
          <cell r="I815">
            <v>1.622857193589763E-3</v>
          </cell>
        </row>
        <row r="816">
          <cell r="A816" t="str">
            <v>RHEM-SHLTHDH</v>
          </cell>
          <cell r="B816" t="str">
            <v>VAR_fout</v>
          </cell>
          <cell r="C816" t="str">
            <v>RHEM-SHLTHD</v>
          </cell>
          <cell r="H816">
            <v>5.4783636250297061</v>
          </cell>
          <cell r="I816">
            <v>5.8156515528411292</v>
          </cell>
          <cell r="J816">
            <v>5.4284751091482244</v>
          </cell>
        </row>
        <row r="817">
          <cell r="A817" t="str">
            <v>RHEM-SHLTHDH</v>
          </cell>
          <cell r="B817" t="str">
            <v>VAR_fin</v>
          </cell>
          <cell r="C817" t="str">
            <v>RHEMLTHDHC</v>
          </cell>
          <cell r="H817">
            <v>5.4783636250297061</v>
          </cell>
          <cell r="I817">
            <v>5.8156515528411292</v>
          </cell>
          <cell r="J817">
            <v>5.4284751091482244</v>
          </cell>
        </row>
        <row r="818">
          <cell r="A818" t="str">
            <v>RHEM-SHLTHDH</v>
          </cell>
          <cell r="B818" t="str">
            <v>VAR_fin</v>
          </cell>
          <cell r="C818" t="str">
            <v>RHEM_LTH_DH</v>
          </cell>
          <cell r="H818">
            <v>6.1389271823884686</v>
          </cell>
          <cell r="I818">
            <v>6.5168842093504713</v>
          </cell>
          <cell r="J818">
            <v>6.0830232688850643</v>
          </cell>
        </row>
        <row r="819">
          <cell r="A819" t="str">
            <v>RHEM-SHLTHDH</v>
          </cell>
          <cell r="B819" t="str">
            <v>VAR_ncap</v>
          </cell>
          <cell r="C819" t="str">
            <v>-</v>
          </cell>
          <cell r="H819">
            <v>9.2489941824112701E-2</v>
          </cell>
          <cell r="I819">
            <v>0.127346914922434</v>
          </cell>
          <cell r="J819">
            <v>0.11821381102651</v>
          </cell>
        </row>
        <row r="820">
          <cell r="A820" t="str">
            <v>RHEM-SHLTHDH</v>
          </cell>
          <cell r="B820" t="str">
            <v>VAR_cap</v>
          </cell>
          <cell r="C820" t="str">
            <v>-</v>
          </cell>
          <cell r="H820">
            <v>0.39306657770924797</v>
          </cell>
          <cell r="I820">
            <v>0.41206902776249899</v>
          </cell>
          <cell r="J820">
            <v>0.41466472501436202</v>
          </cell>
        </row>
        <row r="821">
          <cell r="A821" t="str">
            <v>D-ITOT_SOLELC</v>
          </cell>
          <cell r="B821" t="str">
            <v>VAR_fout</v>
          </cell>
          <cell r="C821" t="str">
            <v>ITOT_ELC</v>
          </cell>
          <cell r="H821">
            <v>22.476927622470512</v>
          </cell>
          <cell r="I821">
            <v>40.148278016496853</v>
          </cell>
          <cell r="J821">
            <v>43.044539005196548</v>
          </cell>
        </row>
        <row r="822">
          <cell r="A822" t="str">
            <v>D-ITOT_SOLELC</v>
          </cell>
          <cell r="B822" t="str">
            <v>VAR_fout</v>
          </cell>
          <cell r="C822" t="str">
            <v>ELC5</v>
          </cell>
          <cell r="H822">
            <v>4.5495638112251031E-3</v>
          </cell>
          <cell r="I822">
            <v>0.62917993080880974</v>
          </cell>
          <cell r="J822">
            <v>0.57942504223156932</v>
          </cell>
        </row>
        <row r="823">
          <cell r="A823" t="str">
            <v>D-ITOT_SOLELC</v>
          </cell>
          <cell r="B823" t="str">
            <v>VAR_fin</v>
          </cell>
          <cell r="C823" t="str">
            <v>ITOT_SOL_ELC</v>
          </cell>
          <cell r="H823">
            <v>22.481477186281762</v>
          </cell>
          <cell r="I823">
            <v>40.777457947305642</v>
          </cell>
          <cell r="J823">
            <v>43.623964047428139</v>
          </cell>
        </row>
        <row r="824">
          <cell r="A824" t="str">
            <v>D-SWOD</v>
          </cell>
          <cell r="B824" t="str">
            <v>VAR_fout</v>
          </cell>
          <cell r="C824" t="str">
            <v>SWOD</v>
          </cell>
          <cell r="H824">
            <v>8.4405220545679907</v>
          </cell>
          <cell r="I824">
            <v>7.080628477900671</v>
          </cell>
          <cell r="J824">
            <v>4.7538122909276259</v>
          </cell>
        </row>
        <row r="825">
          <cell r="A825" t="str">
            <v>D-SWOD</v>
          </cell>
          <cell r="B825" t="str">
            <v>VAR_fin</v>
          </cell>
          <cell r="C825" t="str">
            <v>WOD</v>
          </cell>
          <cell r="H825">
            <v>8.4405220545679907</v>
          </cell>
          <cell r="I825">
            <v>7.080628477900671</v>
          </cell>
          <cell r="J825">
            <v>4.7538122909276259</v>
          </cell>
        </row>
        <row r="826">
          <cell r="A826" t="str">
            <v>ITOT-PROCESSCO2CCS</v>
          </cell>
          <cell r="B826" t="str">
            <v>VAR_fout</v>
          </cell>
          <cell r="C826" t="str">
            <v>CO2_O</v>
          </cell>
          <cell r="I826">
            <v>0.16555179169886114</v>
          </cell>
          <cell r="J826">
            <v>933.14820921078558</v>
          </cell>
        </row>
        <row r="827">
          <cell r="A827" t="str">
            <v>ITOT-PROCESSCO2CCS</v>
          </cell>
          <cell r="B827" t="str">
            <v>VAR_fout</v>
          </cell>
          <cell r="C827" t="str">
            <v>CO2</v>
          </cell>
          <cell r="I827">
            <v>-0.165551791698861</v>
          </cell>
          <cell r="J827">
            <v>-933.14820921078604</v>
          </cell>
        </row>
        <row r="828">
          <cell r="A828" t="str">
            <v>ITOT-PROCESSCO2CCS</v>
          </cell>
          <cell r="B828" t="str">
            <v>VAR_fin</v>
          </cell>
          <cell r="C828" t="str">
            <v>ITOT_ELC</v>
          </cell>
          <cell r="I828">
            <v>3.5058026477405893E-4</v>
          </cell>
          <cell r="J828">
            <v>1.9760785606816635</v>
          </cell>
        </row>
        <row r="829">
          <cell r="A829" t="str">
            <v>ITOT-PROCESSCO2CCS</v>
          </cell>
          <cell r="B829" t="str">
            <v>VAR_fin</v>
          </cell>
          <cell r="C829" t="str">
            <v>ITOT_LTH_DH</v>
          </cell>
          <cell r="I829">
            <v>1.3633676963435641E-4</v>
          </cell>
          <cell r="J829">
            <v>0.76847499582064827</v>
          </cell>
        </row>
        <row r="830">
          <cell r="A830" t="str">
            <v>ITOT-PROCESSCO2CCS</v>
          </cell>
          <cell r="B830" t="str">
            <v>VAR_ncap</v>
          </cell>
          <cell r="C830" t="str">
            <v>-</v>
          </cell>
          <cell r="I830">
            <v>0.48326946589446701</v>
          </cell>
          <cell r="J830">
            <v>2842.4203211244599</v>
          </cell>
        </row>
        <row r="831">
          <cell r="A831" t="str">
            <v>ITOT-PROCESSCO2CCS</v>
          </cell>
          <cell r="B831" t="str">
            <v>VAR_cap</v>
          </cell>
          <cell r="C831" t="str">
            <v>-</v>
          </cell>
          <cell r="I831">
            <v>0.48326946589446701</v>
          </cell>
          <cell r="J831">
            <v>2842.9035905903602</v>
          </cell>
        </row>
        <row r="832">
          <cell r="A832" t="str">
            <v>D-RSH2R</v>
          </cell>
          <cell r="B832" t="str">
            <v>VAR_fout</v>
          </cell>
          <cell r="C832" t="str">
            <v>RSH2</v>
          </cell>
          <cell r="H832">
            <v>6.8732974501096728E-4</v>
          </cell>
          <cell r="I832">
            <v>4.2441955845209841E-4</v>
          </cell>
          <cell r="J832">
            <v>3.6207440738318468E-4</v>
          </cell>
        </row>
        <row r="833">
          <cell r="A833" t="str">
            <v>D-RSH2R</v>
          </cell>
          <cell r="B833" t="str">
            <v>VAR_fin</v>
          </cell>
          <cell r="C833" t="str">
            <v>H2</v>
          </cell>
          <cell r="H833">
            <v>6.8732974501096728E-4</v>
          </cell>
          <cell r="I833">
            <v>4.2441955845209841E-4</v>
          </cell>
          <cell r="J833">
            <v>3.6207440738318468E-4</v>
          </cell>
        </row>
        <row r="834">
          <cell r="A834" t="str">
            <v>D-RSH2R</v>
          </cell>
          <cell r="B834" t="str">
            <v>VAR_ncap</v>
          </cell>
          <cell r="C834" t="str">
            <v>-</v>
          </cell>
          <cell r="H834">
            <v>1.12623902053691E-4</v>
          </cell>
          <cell r="I834">
            <v>1.3146739822205499E-4</v>
          </cell>
          <cell r="J834">
            <v>5.5846234359731302E-5</v>
          </cell>
        </row>
        <row r="835">
          <cell r="A835" t="str">
            <v>D-RSH2R</v>
          </cell>
          <cell r="B835" t="str">
            <v>VAR_cap</v>
          </cell>
          <cell r="C835" t="str">
            <v>-</v>
          </cell>
          <cell r="H835">
            <v>1.9583921931650799E-4</v>
          </cell>
          <cell r="I835">
            <v>1.5141556035897199E-4</v>
          </cell>
          <cell r="J835">
            <v>1.00876611504985E-4</v>
          </cell>
        </row>
        <row r="836">
          <cell r="A836" t="str">
            <v>SCOM-SHLTHCHPBIO</v>
          </cell>
          <cell r="B836" t="str">
            <v>VAR_fout</v>
          </cell>
          <cell r="C836" t="str">
            <v>SCOM-SHLTHC-BIO</v>
          </cell>
        </row>
        <row r="837">
          <cell r="A837" t="str">
            <v>SCOM-SHLTHCHPBIO</v>
          </cell>
          <cell r="B837" t="str">
            <v>VAR_fin</v>
          </cell>
          <cell r="C837" t="str">
            <v>SCOM_LTH_CHPBIO_ON</v>
          </cell>
        </row>
        <row r="838">
          <cell r="A838" t="str">
            <v>SCOM-SHLTHCHPBIO</v>
          </cell>
          <cell r="B838" t="str">
            <v>VAR_fin</v>
          </cell>
          <cell r="C838" t="str">
            <v>SCOMLTHCHPC</v>
          </cell>
        </row>
        <row r="839">
          <cell r="A839" t="str">
            <v>SCOM-SHLTHCHPBIO</v>
          </cell>
          <cell r="B839" t="str">
            <v>VAR_ncap</v>
          </cell>
          <cell r="C839" t="str">
            <v>-</v>
          </cell>
          <cell r="H839">
            <v>5.1892069818404898E-2</v>
          </cell>
          <cell r="I839">
            <v>4.4179798491857103E-2</v>
          </cell>
          <cell r="J839">
            <v>5.3905474467559299E-2</v>
          </cell>
        </row>
        <row r="840">
          <cell r="A840" t="str">
            <v>SCOM-SHLTHCHPBIO</v>
          </cell>
          <cell r="B840" t="str">
            <v>VAR_cap</v>
          </cell>
          <cell r="C840" t="str">
            <v>-</v>
          </cell>
          <cell r="H840">
            <v>8.9266594187010426E-2</v>
          </cell>
          <cell r="I840">
            <v>7.7081170457333398E-2</v>
          </cell>
          <cell r="J840">
            <v>7.7081534961909809E-2</v>
          </cell>
        </row>
        <row r="841">
          <cell r="A841" t="str">
            <v>D-RSH2</v>
          </cell>
          <cell r="B841" t="str">
            <v>VAR_fout</v>
          </cell>
          <cell r="C841" t="str">
            <v>RSH2</v>
          </cell>
          <cell r="H841">
            <v>6.2981833704704748E-4</v>
          </cell>
          <cell r="I841">
            <v>4.2580943323715625E-4</v>
          </cell>
          <cell r="J841">
            <v>4.0980088807704857E-4</v>
          </cell>
        </row>
        <row r="842">
          <cell r="A842" t="str">
            <v>D-RSH2</v>
          </cell>
          <cell r="B842" t="str">
            <v>VAR_fin</v>
          </cell>
          <cell r="C842" t="str">
            <v>H2</v>
          </cell>
          <cell r="H842">
            <v>6.3461653751974612E-4</v>
          </cell>
          <cell r="I842">
            <v>4.290534147214321E-4</v>
          </cell>
          <cell r="J842">
            <v>4.1292291025268532E-4</v>
          </cell>
        </row>
        <row r="843">
          <cell r="A843" t="str">
            <v>D-RSH2</v>
          </cell>
          <cell r="B843" t="str">
            <v>VAR_ncap</v>
          </cell>
          <cell r="C843" t="str">
            <v>-</v>
          </cell>
          <cell r="H843">
            <v>5.4136275241034098E-5</v>
          </cell>
          <cell r="I843">
            <v>2.6372877073226202E-6</v>
          </cell>
          <cell r="J843">
            <v>1.63111650689229E-6</v>
          </cell>
        </row>
        <row r="844">
          <cell r="A844" t="str">
            <v>D-RSH2</v>
          </cell>
          <cell r="B844" t="str">
            <v>VAR_cap</v>
          </cell>
          <cell r="C844" t="str">
            <v>-</v>
          </cell>
          <cell r="H844">
            <v>1.9337006418514499E-4</v>
          </cell>
          <cell r="I844">
            <v>1.9600735189246799E-4</v>
          </cell>
          <cell r="J844">
            <v>1.9763846839936E-4</v>
          </cell>
        </row>
        <row r="845">
          <cell r="A845" t="str">
            <v>RHES-SHNGABR</v>
          </cell>
          <cell r="B845" t="str">
            <v>VAR_fout</v>
          </cell>
          <cell r="C845" t="str">
            <v>CO2_R</v>
          </cell>
          <cell r="H845">
            <v>300.67728552539302</v>
          </cell>
          <cell r="I845">
            <v>143.26004708067799</v>
          </cell>
          <cell r="J845">
            <v>58.097440253856703</v>
          </cell>
        </row>
        <row r="846">
          <cell r="A846" t="str">
            <v>RHES-SHNGABR</v>
          </cell>
          <cell r="B846" t="str">
            <v>VAR_fout</v>
          </cell>
          <cell r="C846" t="str">
            <v>RHES-SHNGA</v>
          </cell>
          <cell r="H846">
            <v>4.8910699057199221</v>
          </cell>
          <cell r="I846">
            <v>2.3303885551046997</v>
          </cell>
          <cell r="J846">
            <v>0.96443119030924807</v>
          </cell>
        </row>
        <row r="847">
          <cell r="A847" t="str">
            <v>RHES-SHNGABR</v>
          </cell>
          <cell r="B847" t="str">
            <v>VAR_fin</v>
          </cell>
          <cell r="C847" t="str">
            <v>RNGA</v>
          </cell>
          <cell r="H847">
            <v>5.3311575447764783</v>
          </cell>
          <cell r="I847">
            <v>2.5400717567496129</v>
          </cell>
          <cell r="J847">
            <v>1.0300964584017152</v>
          </cell>
        </row>
        <row r="848">
          <cell r="A848" t="str">
            <v>RHES-SHNGABR</v>
          </cell>
          <cell r="B848" t="str">
            <v>VAR_ncap</v>
          </cell>
          <cell r="C848" t="str">
            <v>-</v>
          </cell>
          <cell r="H848">
            <v>1.5235201302597701E-2</v>
          </cell>
          <cell r="I848">
            <v>0.17340887855567499</v>
          </cell>
          <cell r="J848">
            <v>2.4356392428988002E-7</v>
          </cell>
        </row>
        <row r="849">
          <cell r="A849" t="str">
            <v>RHES-SHNGABR</v>
          </cell>
          <cell r="B849" t="str">
            <v>VAR_cap</v>
          </cell>
          <cell r="C849" t="str">
            <v>-</v>
          </cell>
          <cell r="H849">
            <v>0.39554763763042894</v>
          </cell>
          <cell r="I849">
            <v>0.18864387403795516</v>
          </cell>
          <cell r="J849">
            <v>8.4515012665061701E-2</v>
          </cell>
        </row>
        <row r="850">
          <cell r="A850" t="str">
            <v>SCOM-SHLTHCHPHFC</v>
          </cell>
          <cell r="B850" t="str">
            <v>VAR_ncap</v>
          </cell>
          <cell r="C850" t="str">
            <v>-</v>
          </cell>
          <cell r="H850">
            <v>2.3376714596309701E-4</v>
          </cell>
          <cell r="I850">
            <v>2.7843044809247797E-4</v>
          </cell>
          <cell r="J850">
            <v>3.6516501510343102E-4</v>
          </cell>
        </row>
        <row r="851">
          <cell r="A851" t="str">
            <v>SCOM-SHLTHCHPHFC</v>
          </cell>
          <cell r="B851" t="str">
            <v>VAR_cap</v>
          </cell>
          <cell r="C851" t="str">
            <v>-</v>
          </cell>
          <cell r="H851">
            <v>2.9926047960859999E-4</v>
          </cell>
          <cell r="I851">
            <v>3.9103203993578605E-4</v>
          </cell>
          <cell r="J851">
            <v>4.6554243763377801E-4</v>
          </cell>
        </row>
        <row r="852">
          <cell r="A852" t="str">
            <v>RHSA-WHNGABR</v>
          </cell>
          <cell r="B852" t="str">
            <v>VAR_fout</v>
          </cell>
          <cell r="C852" t="str">
            <v>RHSA-WHNGA</v>
          </cell>
          <cell r="H852">
            <v>2.4115254431641047</v>
          </cell>
          <cell r="I852">
            <v>1.4646650007506685</v>
          </cell>
          <cell r="J852">
            <v>0.66871089421997543</v>
          </cell>
        </row>
        <row r="853">
          <cell r="A853" t="str">
            <v>RHSA-WHNGABR</v>
          </cell>
          <cell r="B853" t="str">
            <v>VAR_fout</v>
          </cell>
          <cell r="C853" t="str">
            <v>CO2_R</v>
          </cell>
          <cell r="H853">
            <v>242.93940223381901</v>
          </cell>
          <cell r="I853">
            <v>147.551766772278</v>
          </cell>
          <cell r="J853">
            <v>66.864602986205199</v>
          </cell>
        </row>
        <row r="854">
          <cell r="A854" t="str">
            <v>RHSA-WHNGABR</v>
          </cell>
          <cell r="B854" t="str">
            <v>VAR_fin</v>
          </cell>
          <cell r="C854" t="str">
            <v>RNGA</v>
          </cell>
          <cell r="H854">
            <v>4.3074362098194827</v>
          </cell>
          <cell r="I854">
            <v>2.6161660775226534</v>
          </cell>
          <cell r="J854">
            <v>1.1855426061383902</v>
          </cell>
        </row>
        <row r="855">
          <cell r="A855" t="str">
            <v>RHSA-WHNGABR</v>
          </cell>
          <cell r="B855" t="str">
            <v>VAR_ncap</v>
          </cell>
          <cell r="C855" t="str">
            <v>-</v>
          </cell>
          <cell r="H855">
            <v>5.1967508719235403E-2</v>
          </cell>
          <cell r="I855">
            <v>5.1839254660824001E-2</v>
          </cell>
          <cell r="J855">
            <v>9.3575307869497502E-7</v>
          </cell>
        </row>
        <row r="856">
          <cell r="A856" t="str">
            <v>RHSA-WHNGABR</v>
          </cell>
          <cell r="B856" t="str">
            <v>VAR_cap</v>
          </cell>
          <cell r="C856" t="str">
            <v>-</v>
          </cell>
          <cell r="H856">
            <v>0.16501793293865305</v>
          </cell>
          <cell r="I856">
            <v>0.1038059195743796</v>
          </cell>
          <cell r="J856">
            <v>5.9602630786972158E-2</v>
          </cell>
        </row>
        <row r="857">
          <cell r="A857" t="str">
            <v>ITOT-SWHWSTBR</v>
          </cell>
          <cell r="B857" t="str">
            <v>VAR_fout</v>
          </cell>
          <cell r="C857" t="str">
            <v>ITOT-SWH</v>
          </cell>
          <cell r="H857">
            <v>5.6766570990356024</v>
          </cell>
          <cell r="I857">
            <v>4.3954897199244876</v>
          </cell>
          <cell r="J857">
            <v>3.2361057646844111</v>
          </cell>
        </row>
        <row r="858">
          <cell r="A858" t="str">
            <v>ITOT-SWHWSTBR</v>
          </cell>
          <cell r="B858" t="str">
            <v>VAR_fout</v>
          </cell>
          <cell r="C858" t="str">
            <v>CO2_I</v>
          </cell>
          <cell r="H858">
            <v>997.71549013353103</v>
          </cell>
          <cell r="I858">
            <v>772.54061744127398</v>
          </cell>
          <cell r="J858">
            <v>552.04157162263505</v>
          </cell>
        </row>
        <row r="859">
          <cell r="A859" t="str">
            <v>ITOT-SWHWSTBR</v>
          </cell>
          <cell r="B859" t="str">
            <v>VAR_fin</v>
          </cell>
          <cell r="C859" t="str">
            <v>IWST</v>
          </cell>
          <cell r="H859">
            <v>10.75124450574925</v>
          </cell>
          <cell r="I859">
            <v>8.3247911362206093</v>
          </cell>
          <cell r="J859">
            <v>5.9487238321404599</v>
          </cell>
        </row>
        <row r="860">
          <cell r="A860" t="str">
            <v>ITOT-SWHWSTBR</v>
          </cell>
          <cell r="B860" t="str">
            <v>VAR_ncap</v>
          </cell>
          <cell r="C860" t="str">
            <v>-</v>
          </cell>
          <cell r="H860">
            <v>0.24067984238764301</v>
          </cell>
          <cell r="I860">
            <v>8.4996221747567199E-2</v>
          </cell>
          <cell r="J860">
            <v>6.6309456208574202E-2</v>
          </cell>
        </row>
        <row r="861">
          <cell r="A861" t="str">
            <v>ITOT-SWHWSTBR</v>
          </cell>
          <cell r="B861" t="str">
            <v>VAR_cap</v>
          </cell>
          <cell r="C861" t="str">
            <v>-</v>
          </cell>
          <cell r="H861">
            <v>0.33401948758815198</v>
          </cell>
          <cell r="I861">
            <v>0.32565899644639545</v>
          </cell>
          <cell r="J861">
            <v>0.2297465567747867</v>
          </cell>
        </row>
        <row r="862">
          <cell r="A862" t="str">
            <v>SCOM-SHSTG-ELC</v>
          </cell>
          <cell r="B862" t="str">
            <v>VAR_fout</v>
          </cell>
          <cell r="C862" t="str">
            <v>SCOM-SHAELCB</v>
          </cell>
          <cell r="H862">
            <v>3.8157608568783353E-5</v>
          </cell>
          <cell r="I862">
            <v>3.7592145163268418E-5</v>
          </cell>
          <cell r="J862">
            <v>1.5570606943330333E-5</v>
          </cell>
        </row>
        <row r="863">
          <cell r="A863" t="str">
            <v>SCOM-SHSTG-ELC</v>
          </cell>
          <cell r="B863" t="str">
            <v>VAR_fin</v>
          </cell>
          <cell r="C863" t="str">
            <v>SCOM-SHAELCB</v>
          </cell>
          <cell r="H863">
            <v>4.2832214442220206E-5</v>
          </cell>
          <cell r="I863">
            <v>4.4446689819548252E-5</v>
          </cell>
          <cell r="J863">
            <v>1.6948541346558192E-5</v>
          </cell>
        </row>
        <row r="864">
          <cell r="A864" t="str">
            <v>SCOM-SHSTG-ELC</v>
          </cell>
          <cell r="B864" t="str">
            <v>VAR_ncap</v>
          </cell>
          <cell r="C864" t="str">
            <v>-</v>
          </cell>
          <cell r="H864">
            <v>3.7355933052879201E-3</v>
          </cell>
          <cell r="I864">
            <v>2.10890217188615E-3</v>
          </cell>
          <cell r="J864">
            <v>1.1053081190934501E-3</v>
          </cell>
        </row>
        <row r="865">
          <cell r="A865" t="str">
            <v>SCOM-SHSTG-ELC</v>
          </cell>
          <cell r="B865" t="str">
            <v>VAR_cap</v>
          </cell>
          <cell r="C865" t="str">
            <v>-</v>
          </cell>
          <cell r="H865">
            <v>6.2766684105703199E-3</v>
          </cell>
          <cell r="I865">
            <v>5.8038789429509605E-3</v>
          </cell>
          <cell r="J865">
            <v>4.1008570313640445E-3</v>
          </cell>
        </row>
        <row r="866">
          <cell r="A866" t="str">
            <v>SCOM-SHNGABR</v>
          </cell>
          <cell r="B866" t="str">
            <v>VAR_fout</v>
          </cell>
          <cell r="C866" t="str">
            <v>CO2_S</v>
          </cell>
          <cell r="H866">
            <v>636.60407558781105</v>
          </cell>
          <cell r="I866">
            <v>337.59000803316098</v>
          </cell>
          <cell r="J866">
            <v>127.25022024867199</v>
          </cell>
        </row>
        <row r="867">
          <cell r="A867" t="str">
            <v>SCOM-SHNGABR</v>
          </cell>
          <cell r="B867" t="str">
            <v>VAR_fout</v>
          </cell>
          <cell r="C867" t="str">
            <v>SCOM-SHNGA</v>
          </cell>
          <cell r="H867">
            <v>9.7844392380797895</v>
          </cell>
          <cell r="I867">
            <v>5.188670710179438</v>
          </cell>
          <cell r="J867">
            <v>1.9558028228232156</v>
          </cell>
        </row>
        <row r="868">
          <cell r="A868" t="str">
            <v>SCOM-SHNGABR</v>
          </cell>
          <cell r="B868" t="str">
            <v>VAR_fin</v>
          </cell>
          <cell r="C868" t="str">
            <v>SNGA</v>
          </cell>
          <cell r="H868">
            <v>11.287306304748425</v>
          </cell>
          <cell r="I868">
            <v>5.9856384403042773</v>
          </cell>
          <cell r="J868">
            <v>2.2562095788771703</v>
          </cell>
        </row>
        <row r="869">
          <cell r="A869" t="str">
            <v>SCOM-SHNGABR</v>
          </cell>
          <cell r="B869" t="str">
            <v>VAR_ncap</v>
          </cell>
          <cell r="C869" t="str">
            <v>-</v>
          </cell>
          <cell r="H869">
            <v>0.50075603582151895</v>
          </cell>
          <cell r="I869">
            <v>4.5647494765119201E-2</v>
          </cell>
          <cell r="J869">
            <v>1.5329212492743801E-5</v>
          </cell>
        </row>
        <row r="870">
          <cell r="A870" t="str">
            <v>SCOM-SHNGABR</v>
          </cell>
          <cell r="B870" t="str">
            <v>VAR_cap</v>
          </cell>
          <cell r="C870" t="str">
            <v>-</v>
          </cell>
          <cell r="H870">
            <v>1.1440012834995359</v>
          </cell>
          <cell r="I870">
            <v>0.54640224388988179</v>
          </cell>
          <cell r="J870">
            <v>0.24495719414507072</v>
          </cell>
        </row>
        <row r="871">
          <cell r="A871" t="str">
            <v>RHEM-SHELCHP</v>
          </cell>
          <cell r="B871" t="str">
            <v>VAR_fout</v>
          </cell>
          <cell r="C871" t="str">
            <v>RHEM-SHAELCH</v>
          </cell>
          <cell r="H871">
            <v>18.249083817584971</v>
          </cell>
          <cell r="I871">
            <v>22.58333748313343</v>
          </cell>
          <cell r="J871">
            <v>23.3212125413853</v>
          </cell>
        </row>
        <row r="872">
          <cell r="A872" t="str">
            <v>RHEM-SHELCHP</v>
          </cell>
          <cell r="B872" t="str">
            <v>VAR_fin</v>
          </cell>
          <cell r="C872" t="str">
            <v>RHEMELCHPC</v>
          </cell>
          <cell r="H872">
            <v>18.249083817584971</v>
          </cell>
          <cell r="I872">
            <v>22.58333748313343</v>
          </cell>
          <cell r="J872">
            <v>23.3212125413853</v>
          </cell>
        </row>
        <row r="873">
          <cell r="A873" t="str">
            <v>RHEM-SHELCHP</v>
          </cell>
          <cell r="B873" t="str">
            <v>VAR_fin</v>
          </cell>
          <cell r="C873" t="str">
            <v>RHEM_ELC</v>
          </cell>
          <cell r="H873">
            <v>5.1065076844788475</v>
          </cell>
          <cell r="I873">
            <v>5.9714206251924091</v>
          </cell>
          <cell r="J873">
            <v>5.6316735350971241</v>
          </cell>
        </row>
        <row r="874">
          <cell r="A874" t="str">
            <v>RHEM-SHELCHP</v>
          </cell>
          <cell r="B874" t="str">
            <v>VAR_ncap</v>
          </cell>
          <cell r="C874" t="str">
            <v>-</v>
          </cell>
          <cell r="H874">
            <v>0.81288167334803796</v>
          </cell>
          <cell r="I874">
            <v>0.62406451630779103</v>
          </cell>
          <cell r="J874">
            <v>0.85010343184381398</v>
          </cell>
        </row>
        <row r="875">
          <cell r="A875" t="str">
            <v>RHEM-SHELCHP</v>
          </cell>
          <cell r="B875" t="str">
            <v>VAR_cap</v>
          </cell>
          <cell r="C875" t="str">
            <v>-</v>
          </cell>
          <cell r="H875">
            <v>1.288709420170701</v>
          </cell>
          <cell r="I875">
            <v>1.5947701607147176</v>
          </cell>
          <cell r="J875">
            <v>1.6468522757567994</v>
          </cell>
        </row>
        <row r="876">
          <cell r="A876" t="str">
            <v>RHNM-SHSTG-ELC</v>
          </cell>
          <cell r="B876" t="str">
            <v>VAR_fout</v>
          </cell>
          <cell r="C876" t="str">
            <v>RHNM-SHAELCB</v>
          </cell>
          <cell r="H876">
            <v>1.6839375438208748E-4</v>
          </cell>
          <cell r="I876">
            <v>6.9088904753759591E-4</v>
          </cell>
          <cell r="J876">
            <v>3.5010479028020614E-4</v>
          </cell>
        </row>
        <row r="877">
          <cell r="A877" t="str">
            <v>RHNM-SHSTG-ELC</v>
          </cell>
          <cell r="B877" t="str">
            <v>VAR_fout</v>
          </cell>
          <cell r="C877" t="str">
            <v>AUX_RHNM-SHSTG-ELC_OUT</v>
          </cell>
          <cell r="H877">
            <v>1.6856214813646951E-4</v>
          </cell>
          <cell r="I877">
            <v>6.9157993658513302E-4</v>
          </cell>
          <cell r="J877">
            <v>3.5045489507048663E-4</v>
          </cell>
        </row>
        <row r="878">
          <cell r="A878" t="str">
            <v>RHNM-SHSTG-ELC</v>
          </cell>
          <cell r="B878" t="str">
            <v>VAR_fin</v>
          </cell>
          <cell r="C878" t="str">
            <v>RHNM-SHAELCB</v>
          </cell>
          <cell r="H878">
            <v>1.6376191886879351E-4</v>
          </cell>
          <cell r="I878">
            <v>6.8240758329963017E-4</v>
          </cell>
          <cell r="J878">
            <v>3.4958912017532523E-4</v>
          </cell>
        </row>
        <row r="879">
          <cell r="A879" t="str">
            <v>RHNM-SHSTG-ELC</v>
          </cell>
          <cell r="B879" t="str">
            <v>VAR_ncap</v>
          </cell>
          <cell r="C879" t="str">
            <v>-</v>
          </cell>
          <cell r="H879">
            <v>3.1927343346813797E-4</v>
          </cell>
          <cell r="I879">
            <v>9.4564993463969901E-5</v>
          </cell>
          <cell r="J879">
            <v>7.0746078613434206E-5</v>
          </cell>
        </row>
        <row r="880">
          <cell r="A880" t="str">
            <v>RHNM-SHSTG-ELC</v>
          </cell>
          <cell r="B880" t="str">
            <v>VAR_cap</v>
          </cell>
          <cell r="C880" t="str">
            <v>-</v>
          </cell>
          <cell r="H880">
            <v>1.8329709374964602E-3</v>
          </cell>
          <cell r="I880">
            <v>3.6060113558924296E-4</v>
          </cell>
          <cell r="J880">
            <v>1.5275969399062802E-4</v>
          </cell>
        </row>
        <row r="881">
          <cell r="A881" t="str">
            <v>D-RWOD</v>
          </cell>
          <cell r="B881" t="str">
            <v>VAR_fout</v>
          </cell>
          <cell r="C881" t="str">
            <v>RWOD</v>
          </cell>
          <cell r="H881">
            <v>14.189524795034336</v>
          </cell>
          <cell r="I881">
            <v>13.562712736758924</v>
          </cell>
          <cell r="J881">
            <v>7.4614109456644977</v>
          </cell>
        </row>
        <row r="882">
          <cell r="A882" t="str">
            <v>D-RWOD</v>
          </cell>
          <cell r="B882" t="str">
            <v>VAR_fin</v>
          </cell>
          <cell r="C882" t="str">
            <v>WOD</v>
          </cell>
          <cell r="H882">
            <v>14.189524795034336</v>
          </cell>
          <cell r="I882">
            <v>13.562712736758924</v>
          </cell>
          <cell r="J882">
            <v>7.4614109456644977</v>
          </cell>
        </row>
        <row r="883">
          <cell r="A883" t="str">
            <v>RHNS-SHLTHCHPWOD</v>
          </cell>
          <cell r="B883" t="str">
            <v>VAR_ncap</v>
          </cell>
          <cell r="C883" t="str">
            <v>-</v>
          </cell>
          <cell r="H883">
            <v>7.2932529295455695E-4</v>
          </cell>
          <cell r="I883">
            <v>4.9531428516203402E-4</v>
          </cell>
          <cell r="J883">
            <v>1.5388754281311801E-4</v>
          </cell>
        </row>
        <row r="884">
          <cell r="A884" t="str">
            <v>RHNS-SHLTHCHPWOD</v>
          </cell>
          <cell r="B884" t="str">
            <v>VAR_cap</v>
          </cell>
          <cell r="C884" t="str">
            <v>-</v>
          </cell>
          <cell r="H884">
            <v>8.9279319029084798E-4</v>
          </cell>
          <cell r="I884">
            <v>8.6509269346406507E-4</v>
          </cell>
          <cell r="J884">
            <v>3.0279089619722596E-4</v>
          </cell>
        </row>
        <row r="885">
          <cell r="A885" t="str">
            <v>RHNM-SHELCBR</v>
          </cell>
          <cell r="B885" t="str">
            <v>VAR_fout</v>
          </cell>
          <cell r="C885" t="str">
            <v>RHNM-SHAELCB</v>
          </cell>
          <cell r="H885">
            <v>1.6968629508784996E-3</v>
          </cell>
          <cell r="I885">
            <v>1.7717472058393481E-3</v>
          </cell>
          <cell r="J885">
            <v>1.7446599499497087E-3</v>
          </cell>
        </row>
        <row r="886">
          <cell r="A886" t="str">
            <v>RHNM-SHELCBR</v>
          </cell>
          <cell r="B886" t="str">
            <v>VAR_fin</v>
          </cell>
          <cell r="C886" t="str">
            <v>RHNM_ELC</v>
          </cell>
          <cell r="H886">
            <v>1.786171527240526E-3</v>
          </cell>
          <cell r="I886">
            <v>1.864997058778262E-3</v>
          </cell>
          <cell r="J886">
            <v>1.8364841578417973E-3</v>
          </cell>
        </row>
        <row r="887">
          <cell r="A887" t="str">
            <v>RHNM-SHELCBR</v>
          </cell>
          <cell r="B887" t="str">
            <v>VAR_ncap</v>
          </cell>
          <cell r="C887" t="str">
            <v>-</v>
          </cell>
          <cell r="H887">
            <v>1.5297685113969E-3</v>
          </cell>
        </row>
        <row r="888">
          <cell r="A888" t="str">
            <v>RHNM-SHELCBR</v>
          </cell>
          <cell r="B888" t="str">
            <v>VAR_cap</v>
          </cell>
          <cell r="C888" t="str">
            <v>-</v>
          </cell>
          <cell r="H888">
            <v>7.7920729222725974E-3</v>
          </cell>
          <cell r="I888">
            <v>1.529020768433885E-3</v>
          </cell>
          <cell r="J888">
            <v>6.4575050012217236E-4</v>
          </cell>
        </row>
        <row r="889">
          <cell r="A889" t="str">
            <v>RHNS-SHSTG-NGAHP</v>
          </cell>
          <cell r="B889" t="str">
            <v>VAR_fout</v>
          </cell>
          <cell r="C889" t="str">
            <v>RHNS-SHANGAH</v>
          </cell>
          <cell r="H889">
            <v>3.4660645974066213E-2</v>
          </cell>
          <cell r="I889">
            <v>4.6047520134110981E-2</v>
          </cell>
          <cell r="J889">
            <v>5.9945587760377825E-2</v>
          </cell>
        </row>
        <row r="890">
          <cell r="A890" t="str">
            <v>RHNS-SHSTG-NGAHP</v>
          </cell>
          <cell r="B890" t="str">
            <v>VAR_fout</v>
          </cell>
          <cell r="C890" t="str">
            <v>AUX_RHNS-SHSTG-NGAHP_OUT</v>
          </cell>
          <cell r="H890">
            <v>3.4695306620040271E-2</v>
          </cell>
          <cell r="I890">
            <v>4.6093567654245077E-2</v>
          </cell>
          <cell r="J890">
            <v>6.0005533348138157E-2</v>
          </cell>
        </row>
        <row r="891">
          <cell r="A891" t="str">
            <v>RHNS-SHSTG-NGAHP</v>
          </cell>
          <cell r="B891" t="str">
            <v>VAR_fin</v>
          </cell>
          <cell r="C891" t="str">
            <v>RHNS-SHANGAH</v>
          </cell>
          <cell r="H891">
            <v>3.4694489779957954E-2</v>
          </cell>
          <cell r="I891">
            <v>4.6074764754102542E-2</v>
          </cell>
          <cell r="J891">
            <v>5.9980521693075009E-2</v>
          </cell>
        </row>
        <row r="892">
          <cell r="A892" t="str">
            <v>RHNS-SHSTG-NGAHP</v>
          </cell>
          <cell r="B892" t="str">
            <v>VAR_ncap</v>
          </cell>
          <cell r="C892" t="str">
            <v>-</v>
          </cell>
          <cell r="H892">
            <v>2.7533633258757001E-3</v>
          </cell>
          <cell r="I892">
            <v>5.4720240185249704E-3</v>
          </cell>
          <cell r="J892">
            <v>8.5186112493054293E-3</v>
          </cell>
        </row>
        <row r="893">
          <cell r="A893" t="str">
            <v>RHNS-SHSTG-NGAHP</v>
          </cell>
          <cell r="B893" t="str">
            <v>VAR_cap</v>
          </cell>
          <cell r="C893" t="str">
            <v>-</v>
          </cell>
          <cell r="H893">
            <v>9.6541169080247725E-3</v>
          </cell>
          <cell r="I893">
            <v>1.1639727607226397E-2</v>
          </cell>
          <cell r="J893">
            <v>1.3579250790248366E-2</v>
          </cell>
        </row>
        <row r="894">
          <cell r="A894" t="str">
            <v>RHNS-SHLTHDH</v>
          </cell>
          <cell r="B894" t="str">
            <v>VAR_fout</v>
          </cell>
          <cell r="C894" t="str">
            <v>RHNS-SHLTHD</v>
          </cell>
          <cell r="H894">
            <v>0.15717537066199083</v>
          </cell>
          <cell r="I894">
            <v>0.16711907977280221</v>
          </cell>
          <cell r="J894">
            <v>0.19083400812444892</v>
          </cell>
        </row>
        <row r="895">
          <cell r="A895" t="str">
            <v>RHNS-SHLTHDH</v>
          </cell>
          <cell r="B895" t="str">
            <v>VAR_fin</v>
          </cell>
          <cell r="C895" t="str">
            <v>RHNS_LTH_DH</v>
          </cell>
          <cell r="H895">
            <v>0.17280820696506635</v>
          </cell>
          <cell r="I895">
            <v>0.18366375607401417</v>
          </cell>
          <cell r="J895">
            <v>0.20962765035380582</v>
          </cell>
        </row>
        <row r="896">
          <cell r="A896" t="str">
            <v>RHNS-SHLTHDH</v>
          </cell>
          <cell r="B896" t="str">
            <v>VAR_fin</v>
          </cell>
          <cell r="C896" t="str">
            <v>RHNSLTHDHC</v>
          </cell>
          <cell r="H896">
            <v>0.15717537066199083</v>
          </cell>
          <cell r="I896">
            <v>0.16711907977280221</v>
          </cell>
          <cell r="J896">
            <v>0.19083400812444892</v>
          </cell>
        </row>
        <row r="897">
          <cell r="A897" t="str">
            <v>RHNS-SHLTHDH</v>
          </cell>
          <cell r="B897" t="str">
            <v>VAR_ncap</v>
          </cell>
          <cell r="C897" t="str">
            <v>-</v>
          </cell>
          <cell r="H897">
            <v>1.3236386939814699E-2</v>
          </cell>
          <cell r="I897">
            <v>7.1703068424084498E-3</v>
          </cell>
          <cell r="J897">
            <v>7.8911565947025804E-3</v>
          </cell>
        </row>
        <row r="898">
          <cell r="A898" t="str">
            <v>RHNS-SHLTHDH</v>
          </cell>
          <cell r="B898" t="str">
            <v>VAR_cap</v>
          </cell>
          <cell r="C898" t="str">
            <v>-</v>
          </cell>
          <cell r="H898">
            <v>2.2428297667914605E-2</v>
          </cell>
          <cell r="I898">
            <v>1.6140220915049498E-2</v>
          </cell>
          <cell r="J898">
            <v>1.5303261279278807E-2</v>
          </cell>
        </row>
        <row r="899">
          <cell r="A899" t="str">
            <v>ITOT-SWHNGAHP</v>
          </cell>
          <cell r="B899" t="str">
            <v>VAR_fout</v>
          </cell>
          <cell r="C899" t="str">
            <v>ITOT-SWHANGAH</v>
          </cell>
          <cell r="H899">
            <v>7.2433461774753533E-3</v>
          </cell>
          <cell r="I899">
            <v>3.8753597148152579E-3</v>
          </cell>
          <cell r="J899">
            <v>2.4523370409824242E-3</v>
          </cell>
        </row>
        <row r="900">
          <cell r="A900" t="str">
            <v>ITOT-SWHNGAHP</v>
          </cell>
          <cell r="B900" t="str">
            <v>VAR_fout</v>
          </cell>
          <cell r="C900" t="str">
            <v>CO2_I</v>
          </cell>
          <cell r="H900">
            <v>0.208527166321578</v>
          </cell>
          <cell r="I900">
            <v>0.10950788956006199</v>
          </cell>
          <cell r="J900">
            <v>6.6830091537457198E-2</v>
          </cell>
        </row>
        <row r="901">
          <cell r="A901" t="str">
            <v>ITOT-SWHNGAHP</v>
          </cell>
          <cell r="B901" t="str">
            <v>VAR_fin</v>
          </cell>
          <cell r="C901" t="str">
            <v>ITOTELCHPC</v>
          </cell>
          <cell r="H901">
            <v>7.2433461774753533E-3</v>
          </cell>
          <cell r="I901">
            <v>3.8753597148152579E-3</v>
          </cell>
          <cell r="J901">
            <v>2.4523370409824242E-3</v>
          </cell>
        </row>
        <row r="902">
          <cell r="A902" t="str">
            <v>ITOT-SWHNGAHP</v>
          </cell>
          <cell r="B902" t="str">
            <v>VAR_fin</v>
          </cell>
          <cell r="C902" t="str">
            <v>INGA</v>
          </cell>
          <cell r="H902">
            <v>3.6972901830067042E-3</v>
          </cell>
          <cell r="I902">
            <v>1.9416292475188343E-3</v>
          </cell>
          <cell r="J902">
            <v>1.184930701018744E-3</v>
          </cell>
        </row>
        <row r="903">
          <cell r="A903" t="str">
            <v>ITOT-SWHNGAHP</v>
          </cell>
          <cell r="B903" t="str">
            <v>VAR_ncap</v>
          </cell>
          <cell r="C903" t="str">
            <v>-</v>
          </cell>
          <cell r="H903">
            <v>4.1888642897211102E-4</v>
          </cell>
          <cell r="I903">
            <v>2.0498027994972502E-6</v>
          </cell>
          <cell r="J903">
            <v>7.7334969974374897E-5</v>
          </cell>
        </row>
        <row r="904">
          <cell r="A904" t="str">
            <v>ITOT-SWHNGAHP</v>
          </cell>
          <cell r="B904" t="str">
            <v>VAR_cap</v>
          </cell>
          <cell r="C904" t="str">
            <v>-</v>
          </cell>
          <cell r="H904">
            <v>6.7290735439414807E-4</v>
          </cell>
          <cell r="I904">
            <v>4.1432704953837891E-4</v>
          </cell>
          <cell r="J904">
            <v>2.507887626865876E-4</v>
          </cell>
        </row>
        <row r="905">
          <cell r="A905" t="str">
            <v>RHSA-WHLFOBR</v>
          </cell>
          <cell r="B905" t="str">
            <v>VAR_fout</v>
          </cell>
          <cell r="C905" t="str">
            <v>CO2_R</v>
          </cell>
          <cell r="H905">
            <v>203.25459536700399</v>
          </cell>
          <cell r="I905">
            <v>112.299460631511</v>
          </cell>
          <cell r="J905">
            <v>17.022560919856399</v>
          </cell>
        </row>
        <row r="906">
          <cell r="A906" t="str">
            <v>RHSA-WHLFOBR</v>
          </cell>
          <cell r="B906" t="str">
            <v>VAR_fout</v>
          </cell>
          <cell r="C906" t="str">
            <v>RHSA-WHLFO</v>
          </cell>
          <cell r="H906">
            <v>1.5227167110276447</v>
          </cell>
          <cell r="I906">
            <v>0.8569335246719213</v>
          </cell>
          <cell r="J906">
            <v>0.13592244560805447</v>
          </cell>
        </row>
        <row r="907">
          <cell r="A907" t="str">
            <v>RHSA-WHLFOBR</v>
          </cell>
          <cell r="B907" t="str">
            <v>VAR_fin</v>
          </cell>
          <cell r="C907" t="str">
            <v>RLFO</v>
          </cell>
          <cell r="H907">
            <v>2.7578642519267897</v>
          </cell>
          <cell r="I907">
            <v>1.5237375933719273</v>
          </cell>
          <cell r="J907">
            <v>0.23097097584608453</v>
          </cell>
        </row>
        <row r="908">
          <cell r="A908" t="str">
            <v>RHSA-WHLFOBR</v>
          </cell>
          <cell r="B908" t="str">
            <v>VAR_ncap</v>
          </cell>
          <cell r="C908" t="str">
            <v>-</v>
          </cell>
          <cell r="H908">
            <v>3.8274639631548001E-2</v>
          </cell>
          <cell r="I908">
            <v>2.0321298330545998E-2</v>
          </cell>
        </row>
        <row r="909">
          <cell r="A909" t="str">
            <v>RHSA-WHLFOBR</v>
          </cell>
          <cell r="B909" t="str">
            <v>VAR_cap</v>
          </cell>
          <cell r="C909" t="str">
            <v>-</v>
          </cell>
          <cell r="H909">
            <v>0.10570885722848988</v>
          </cell>
          <cell r="I909">
            <v>5.8595581661134571E-2</v>
          </cell>
          <cell r="J909">
            <v>1.36091464478908E-2</v>
          </cell>
        </row>
        <row r="910">
          <cell r="A910" t="str">
            <v>D-IWST</v>
          </cell>
          <cell r="B910" t="str">
            <v>VAR_fout</v>
          </cell>
          <cell r="C910" t="str">
            <v>CO2</v>
          </cell>
          <cell r="H910">
            <v>1001.75524843265</v>
          </cell>
          <cell r="I910">
            <v>1073.7797176712099</v>
          </cell>
          <cell r="J910">
            <v>1086.8417372515501</v>
          </cell>
        </row>
        <row r="911">
          <cell r="A911" t="str">
            <v>D-IWST</v>
          </cell>
          <cell r="B911" t="str">
            <v>VAR_fout</v>
          </cell>
          <cell r="C911" t="str">
            <v>IWST</v>
          </cell>
          <cell r="H911">
            <v>10.794776383972518</v>
          </cell>
          <cell r="I911">
            <v>11.570902130077668</v>
          </cell>
          <cell r="J911">
            <v>11.711656651417602</v>
          </cell>
        </row>
        <row r="912">
          <cell r="A912" t="str">
            <v>D-IWST</v>
          </cell>
          <cell r="B912" t="str">
            <v>VAR_fin</v>
          </cell>
          <cell r="C912" t="str">
            <v>WSTNREN</v>
          </cell>
          <cell r="H912">
            <v>10.794776383972518</v>
          </cell>
          <cell r="I912">
            <v>11.570902130077668</v>
          </cell>
          <cell r="J912">
            <v>11.711656651417602</v>
          </cell>
        </row>
        <row r="913">
          <cell r="A913" t="str">
            <v>RHES-SHLFOBR</v>
          </cell>
          <cell r="B913" t="str">
            <v>VAR_fout</v>
          </cell>
          <cell r="C913" t="str">
            <v>CO2_R</v>
          </cell>
          <cell r="H913">
            <v>356.44209199538699</v>
          </cell>
          <cell r="I913">
            <v>124.23755269922999</v>
          </cell>
          <cell r="J913">
            <v>16.222995107204301</v>
          </cell>
        </row>
        <row r="914">
          <cell r="A914" t="str">
            <v>RHES-SHLFOBR</v>
          </cell>
          <cell r="B914" t="str">
            <v>VAR_fout</v>
          </cell>
          <cell r="C914" t="str">
            <v>RHES-SHLFO</v>
          </cell>
          <cell r="H914">
            <v>4.1906552542434934</v>
          </cell>
          <cell r="I914">
            <v>1.4587693275589253</v>
          </cell>
          <cell r="J914">
            <v>0.19090429278722562</v>
          </cell>
        </row>
        <row r="915">
          <cell r="A915" t="str">
            <v>RHES-SHLFOBR</v>
          </cell>
          <cell r="B915" t="str">
            <v>VAR_fin</v>
          </cell>
          <cell r="C915" t="str">
            <v>RLFO</v>
          </cell>
          <cell r="H915">
            <v>4.8363920216470415</v>
          </cell>
          <cell r="I915">
            <v>1.6857198466652668</v>
          </cell>
          <cell r="J915">
            <v>0.2201220503012791</v>
          </cell>
        </row>
        <row r="916">
          <cell r="A916" t="str">
            <v>RHES-SHLFOBR</v>
          </cell>
          <cell r="B916" t="str">
            <v>VAR_ncap</v>
          </cell>
          <cell r="C916" t="str">
            <v>-</v>
          </cell>
          <cell r="H916">
            <v>1.6146702648576601E-2</v>
          </cell>
          <cell r="I916">
            <v>0.10175134071800999</v>
          </cell>
          <cell r="J916">
            <v>1.6371439431646599E-7</v>
          </cell>
        </row>
        <row r="917">
          <cell r="A917" t="str">
            <v>RHES-SHLFOBR</v>
          </cell>
          <cell r="B917" t="str">
            <v>VAR_cap</v>
          </cell>
          <cell r="C917" t="str">
            <v>-</v>
          </cell>
          <cell r="H917">
            <v>0.33884985492022346</v>
          </cell>
          <cell r="I917">
            <v>0.11789780103984661</v>
          </cell>
          <cell r="J917">
            <v>2.1505403145737907E-2</v>
          </cell>
        </row>
        <row r="918">
          <cell r="A918" t="str">
            <v>ITOT-SWHSTG</v>
          </cell>
          <cell r="B918" t="str">
            <v>VAR_fout</v>
          </cell>
          <cell r="C918" t="str">
            <v>ITOT-SWH</v>
          </cell>
          <cell r="H918">
            <v>1.0133799289699158E-2</v>
          </cell>
          <cell r="I918">
            <v>0.22234857095060795</v>
          </cell>
          <cell r="J918">
            <v>1.8141686384520184</v>
          </cell>
        </row>
        <row r="919">
          <cell r="A919" t="str">
            <v>ITOT-SWHSTG</v>
          </cell>
          <cell r="B919" t="str">
            <v>VAR_fout</v>
          </cell>
          <cell r="C919" t="str">
            <v>AUX_ITOT-STG_OUT</v>
          </cell>
          <cell r="H919">
            <v>1.0122539512710603E-2</v>
          </cell>
          <cell r="I919">
            <v>0.22234857095060828</v>
          </cell>
          <cell r="J919">
            <v>1.8141686384520184</v>
          </cell>
        </row>
        <row r="920">
          <cell r="A920" t="str">
            <v>ITOT-SWHSTG</v>
          </cell>
          <cell r="B920" t="str">
            <v>VAR_fin</v>
          </cell>
          <cell r="C920" t="str">
            <v>AUX_ITOT-STG_IN</v>
          </cell>
          <cell r="H920">
            <v>1.1259776438721078E-2</v>
          </cell>
          <cell r="I920">
            <v>0.23908449154637099</v>
          </cell>
          <cell r="J920">
            <v>1.8324935210185536</v>
          </cell>
        </row>
        <row r="921">
          <cell r="A921" t="str">
            <v>ITOT-SWHSTG</v>
          </cell>
          <cell r="B921" t="str">
            <v>VAR_fin</v>
          </cell>
          <cell r="C921" t="str">
            <v>ITOT-SWH</v>
          </cell>
          <cell r="H921">
            <v>1.1259776438721078E-2</v>
          </cell>
          <cell r="I921">
            <v>0.23908449154637099</v>
          </cell>
          <cell r="J921">
            <v>1.8324935210185536</v>
          </cell>
        </row>
        <row r="922">
          <cell r="A922" t="str">
            <v>ITOT-SWHSTG</v>
          </cell>
          <cell r="B922" t="str">
            <v>VAR_ncap</v>
          </cell>
          <cell r="C922" t="str">
            <v>-</v>
          </cell>
          <cell r="H922">
            <v>3.0496048599213299E-3</v>
          </cell>
          <cell r="I922">
            <v>4.6237839451295101E-2</v>
          </cell>
          <cell r="J922">
            <v>0.17814942358790201</v>
          </cell>
        </row>
        <row r="923">
          <cell r="A923" t="str">
            <v>ITOT-SWHSTG</v>
          </cell>
          <cell r="B923" t="str">
            <v>VAR_cap</v>
          </cell>
          <cell r="C923" t="str">
            <v>-</v>
          </cell>
          <cell r="H923">
            <v>3.5800142720805962E-3</v>
          </cell>
          <cell r="I923">
            <v>4.9286777527733146E-2</v>
          </cell>
          <cell r="J923">
            <v>0.21298478384630901</v>
          </cell>
        </row>
        <row r="924">
          <cell r="A924" t="str">
            <v>SCOM-SHLFOBR</v>
          </cell>
          <cell r="B924" t="str">
            <v>VAR_fout</v>
          </cell>
          <cell r="C924" t="str">
            <v>CO2_S</v>
          </cell>
          <cell r="H924">
            <v>867.88280669133201</v>
          </cell>
          <cell r="I924">
            <v>499.015145011671</v>
          </cell>
          <cell r="J924">
            <v>93.715858935696303</v>
          </cell>
        </row>
        <row r="925">
          <cell r="A925" t="str">
            <v>SCOM-SHLFOBR</v>
          </cell>
          <cell r="B925" t="str">
            <v>VAR_fout</v>
          </cell>
          <cell r="C925" t="str">
            <v>SCOM-SHLFO</v>
          </cell>
          <cell r="H925">
            <v>9.6415873763678341</v>
          </cell>
          <cell r="I925">
            <v>5.543718674533042</v>
          </cell>
          <cell r="J925">
            <v>1.0411194178677152</v>
          </cell>
        </row>
        <row r="926">
          <cell r="A926" t="str">
            <v>SCOM-SHLFOBR</v>
          </cell>
          <cell r="B926" t="str">
            <v>VAR_fin</v>
          </cell>
          <cell r="C926" t="str">
            <v>SLFO</v>
          </cell>
          <cell r="H926">
            <v>11.775886115214812</v>
          </cell>
          <cell r="I926">
            <v>6.7708974899819578</v>
          </cell>
          <cell r="J926">
            <v>1.2715856029266797</v>
          </cell>
        </row>
        <row r="927">
          <cell r="A927" t="str">
            <v>SCOM-SHLFOBR</v>
          </cell>
          <cell r="B927" t="str">
            <v>VAR_ncap</v>
          </cell>
          <cell r="C927" t="str">
            <v>-</v>
          </cell>
          <cell r="H927">
            <v>0.43059876087939097</v>
          </cell>
          <cell r="I927">
            <v>1.04875119132293E-5</v>
          </cell>
          <cell r="J927">
            <v>5.9448173542214799E-7</v>
          </cell>
        </row>
        <row r="928">
          <cell r="A928" t="str">
            <v>SCOM-SHLFOBR</v>
          </cell>
          <cell r="B928" t="str">
            <v>VAR_cap</v>
          </cell>
          <cell r="C928" t="str">
            <v>-</v>
          </cell>
          <cell r="H928">
            <v>0.85282309694110581</v>
          </cell>
          <cell r="I928">
            <v>0.43060914561943064</v>
          </cell>
          <cell r="J928">
            <v>0.1759351574376618</v>
          </cell>
        </row>
        <row r="929">
          <cell r="A929" t="str">
            <v>RHNM-SHPLTBR</v>
          </cell>
          <cell r="B929" t="str">
            <v>VAR_fout</v>
          </cell>
          <cell r="C929" t="str">
            <v>RHNM-SHPLT</v>
          </cell>
          <cell r="H929">
            <v>1.8372671575630099E-2</v>
          </cell>
          <cell r="I929">
            <v>2.010300461111986E-2</v>
          </cell>
          <cell r="J929">
            <v>2.3835701791410903E-2</v>
          </cell>
        </row>
        <row r="930">
          <cell r="A930" t="str">
            <v>RHNM-SHPLTBR</v>
          </cell>
          <cell r="B930" t="str">
            <v>VAR_fin</v>
          </cell>
          <cell r="C930" t="str">
            <v>RPLT</v>
          </cell>
          <cell r="H930">
            <v>2.4272060876716423E-2</v>
          </cell>
          <cell r="I930">
            <v>2.6332654405707655E-2</v>
          </cell>
          <cell r="J930">
            <v>3.122206406118741E-2</v>
          </cell>
        </row>
        <row r="931">
          <cell r="A931" t="str">
            <v>RHNM-SHPLTBR</v>
          </cell>
          <cell r="B931" t="str">
            <v>VAR_fin</v>
          </cell>
          <cell r="C931" t="str">
            <v>RHNMPLTBRC</v>
          </cell>
          <cell r="H931">
            <v>1.8372671575630099E-2</v>
          </cell>
          <cell r="I931">
            <v>2.010300461111986E-2</v>
          </cell>
          <cell r="J931">
            <v>2.3835701791410903E-2</v>
          </cell>
        </row>
        <row r="932">
          <cell r="A932" t="str">
            <v>RHNM-SHPLTBR</v>
          </cell>
          <cell r="B932" t="str">
            <v>VAR_ncap</v>
          </cell>
          <cell r="C932" t="str">
            <v>-</v>
          </cell>
          <cell r="H932">
            <v>1.51179278281831E-5</v>
          </cell>
          <cell r="I932">
            <v>1.6540872848086899E-3</v>
          </cell>
          <cell r="J932">
            <v>7.0252862451743896E-4</v>
          </cell>
        </row>
        <row r="933">
          <cell r="A933" t="str">
            <v>RHNM-SHPLTBR</v>
          </cell>
          <cell r="B933" t="str">
            <v>VAR_cap</v>
          </cell>
          <cell r="C933" t="str">
            <v>-</v>
          </cell>
          <cell r="H933">
            <v>2.683361464059314E-3</v>
          </cell>
          <cell r="I933">
            <v>1.6748304739689797E-3</v>
          </cell>
          <cell r="J933">
            <v>1.9089328476583434E-3</v>
          </cell>
        </row>
        <row r="934">
          <cell r="A934" t="str">
            <v>D-RHES_NKEV_GAS_ELC_CHP</v>
          </cell>
          <cell r="B934" t="str">
            <v>VAR_fout</v>
          </cell>
          <cell r="C934" t="str">
            <v>RHES_ELC</v>
          </cell>
          <cell r="H934">
            <v>3.6499891356799397E-3</v>
          </cell>
          <cell r="I934">
            <v>9.679228024511888E-4</v>
          </cell>
        </row>
        <row r="935">
          <cell r="A935" t="str">
            <v>D-RHES_NKEV_GAS_ELC_CHP</v>
          </cell>
          <cell r="B935" t="str">
            <v>VAR_fout</v>
          </cell>
          <cell r="C935" t="str">
            <v>ELC5</v>
          </cell>
          <cell r="H935">
            <v>1.2911716052697436E-3</v>
          </cell>
          <cell r="I935">
            <v>5.9763215655249467E-4</v>
          </cell>
        </row>
        <row r="936">
          <cell r="A936" t="str">
            <v>D-RHES_NKEV_GAS_ELC_CHP</v>
          </cell>
          <cell r="B936" t="str">
            <v>VAR_fin</v>
          </cell>
          <cell r="C936" t="str">
            <v>RHES_NKEV_GAS_ELC_CHP</v>
          </cell>
          <cell r="H936">
            <v>4.9101868897983925E-3</v>
          </cell>
          <cell r="I936">
            <v>1.5426487857064066E-3</v>
          </cell>
        </row>
        <row r="937">
          <cell r="A937" t="str">
            <v>SCOM-SHSTG-SOL</v>
          </cell>
          <cell r="B937" t="str">
            <v>VAR_fout</v>
          </cell>
          <cell r="C937" t="str">
            <v>SCOM-SHASOL</v>
          </cell>
          <cell r="H937">
            <v>4.6549920809774761E-5</v>
          </cell>
          <cell r="I937">
            <v>4.5195411967988487E-5</v>
          </cell>
          <cell r="J937">
            <v>3.1020809156863791E-5</v>
          </cell>
        </row>
        <row r="938">
          <cell r="A938" t="str">
            <v>SCOM-SHSTG-SOL</v>
          </cell>
          <cell r="B938" t="str">
            <v>VAR_fin</v>
          </cell>
          <cell r="C938" t="str">
            <v>SCOM-SHASOL</v>
          </cell>
          <cell r="H938">
            <v>3.6864746492478832E-5</v>
          </cell>
          <cell r="I938">
            <v>3.7210229006264416E-5</v>
          </cell>
          <cell r="J938">
            <v>1.362328205139998E-5</v>
          </cell>
        </row>
        <row r="939">
          <cell r="A939" t="str">
            <v>SCOM-SHSTG-SOL</v>
          </cell>
          <cell r="B939" t="str">
            <v>VAR_ncap</v>
          </cell>
          <cell r="C939" t="str">
            <v>-</v>
          </cell>
          <cell r="H939">
            <v>1.66088888412502E-2</v>
          </cell>
          <cell r="I939">
            <v>1.12765410272799E-2</v>
          </cell>
          <cell r="J939">
            <v>1.51930770357018E-2</v>
          </cell>
        </row>
        <row r="940">
          <cell r="A940" t="str">
            <v>SCOM-SHSTG-SOL</v>
          </cell>
          <cell r="B940" t="str">
            <v>VAR_cap</v>
          </cell>
          <cell r="C940" t="str">
            <v>-</v>
          </cell>
          <cell r="H940">
            <v>2.2872189952479E-2</v>
          </cell>
          <cell r="I940">
            <v>2.7886482345423801E-2</v>
          </cell>
          <cell r="J940">
            <v>3.0402312037164599E-2</v>
          </cell>
        </row>
        <row r="941">
          <cell r="A941" t="str">
            <v>RHNM-SHELCBRA</v>
          </cell>
          <cell r="B941" t="str">
            <v>VAR_fout</v>
          </cell>
          <cell r="C941" t="str">
            <v>RHNM-SHELCB</v>
          </cell>
          <cell r="H941">
            <v>1.7015006210341092E-3</v>
          </cell>
          <cell r="I941">
            <v>1.7802281322004216E-3</v>
          </cell>
          <cell r="J941">
            <v>1.7451756200545883E-3</v>
          </cell>
        </row>
        <row r="942">
          <cell r="A942" t="str">
            <v>RHNM-SHELCBRA</v>
          </cell>
          <cell r="B942" t="str">
            <v>VAR_fin</v>
          </cell>
          <cell r="C942" t="str">
            <v>RHNM-SHAELCB</v>
          </cell>
          <cell r="H942">
            <v>1.7015006210341092E-3</v>
          </cell>
          <cell r="I942">
            <v>1.7802281322004216E-3</v>
          </cell>
          <cell r="J942">
            <v>1.7451756200545883E-3</v>
          </cell>
        </row>
        <row r="943">
          <cell r="A943" t="str">
            <v>RHNM-SHELCBRA</v>
          </cell>
          <cell r="B943" t="str">
            <v>VAR_ncap</v>
          </cell>
          <cell r="C943" t="str">
            <v>-</v>
          </cell>
          <cell r="H943">
            <v>1.6301335592460899E-3</v>
          </cell>
        </row>
        <row r="944">
          <cell r="A944" t="str">
            <v>RHNM-SHELCBRA</v>
          </cell>
          <cell r="B944" t="str">
            <v>VAR_cap</v>
          </cell>
          <cell r="C944" t="str">
            <v>-</v>
          </cell>
          <cell r="H944">
            <v>7.7919535940565018E-3</v>
          </cell>
          <cell r="I944">
            <v>1.529838330906445E-3</v>
          </cell>
          <cell r="J944">
            <v>6.4604387981772151E-4</v>
          </cell>
        </row>
        <row r="945">
          <cell r="A945" t="str">
            <v>RHNM-SHSTG-SOL</v>
          </cell>
          <cell r="B945" t="str">
            <v>VAR_fout</v>
          </cell>
          <cell r="C945" t="str">
            <v>AUX_RHNM-SHSTG-SOL_OUT</v>
          </cell>
          <cell r="H945">
            <v>2.9521834791927557E-5</v>
          </cell>
          <cell r="I945">
            <v>2.3698250938496578E-5</v>
          </cell>
          <cell r="J945">
            <v>6.6415317814500838E-5</v>
          </cell>
        </row>
        <row r="946">
          <cell r="A946" t="str">
            <v>RHNM-SHSTG-SOL</v>
          </cell>
          <cell r="B946" t="str">
            <v>VAR_fout</v>
          </cell>
          <cell r="C946" t="str">
            <v>RHNM-SHASOL</v>
          </cell>
          <cell r="H946">
            <v>2.9492342449478078E-5</v>
          </cell>
          <cell r="I946">
            <v>2.3674576362134445E-5</v>
          </cell>
          <cell r="J946">
            <v>6.6348968845655188E-5</v>
          </cell>
        </row>
        <row r="947">
          <cell r="A947" t="str">
            <v>RHNM-SHSTG-SOL</v>
          </cell>
          <cell r="B947" t="str">
            <v>VAR_fin</v>
          </cell>
          <cell r="C947" t="str">
            <v>RHNM-SHASOL</v>
          </cell>
          <cell r="H947">
            <v>6.6673869147634965E-6</v>
          </cell>
          <cell r="I947">
            <v>1.4306972835510728E-5</v>
          </cell>
          <cell r="J947">
            <v>6.0566711190559646E-5</v>
          </cell>
        </row>
        <row r="948">
          <cell r="A948" t="str">
            <v>RHNM-SHSTG-SOL</v>
          </cell>
          <cell r="B948" t="str">
            <v>VAR_ncap</v>
          </cell>
          <cell r="C948" t="str">
            <v>-</v>
          </cell>
          <cell r="H948">
            <v>1.86429373569192E-6</v>
          </cell>
          <cell r="I948">
            <v>3.5626489153209299E-5</v>
          </cell>
          <cell r="J948">
            <v>3.62641369378719E-5</v>
          </cell>
        </row>
        <row r="949">
          <cell r="A949" t="str">
            <v>RHNM-SHSTG-SOL</v>
          </cell>
          <cell r="B949" t="str">
            <v>VAR_cap</v>
          </cell>
          <cell r="C949" t="str">
            <v>-</v>
          </cell>
          <cell r="H949">
            <v>3.1692594201386E-4</v>
          </cell>
          <cell r="I949">
            <v>8.7082120689210705E-5</v>
          </cell>
          <cell r="J949">
            <v>6.29080607330818E-5</v>
          </cell>
        </row>
        <row r="950">
          <cell r="A950" t="str">
            <v>RHNS-SHELCHP</v>
          </cell>
          <cell r="B950" t="str">
            <v>VAR_fout</v>
          </cell>
          <cell r="C950" t="str">
            <v>RHNS-SHAELCH</v>
          </cell>
          <cell r="H950">
            <v>2.1967742450939465</v>
          </cell>
          <cell r="I950">
            <v>2.5337735919284974</v>
          </cell>
          <cell r="J950">
            <v>3.0027509186344088</v>
          </cell>
        </row>
        <row r="951">
          <cell r="A951" t="str">
            <v>RHNS-SHELCHP</v>
          </cell>
          <cell r="B951" t="str">
            <v>VAR_fin</v>
          </cell>
          <cell r="C951" t="str">
            <v>RHNS_ELC</v>
          </cell>
          <cell r="H951">
            <v>0.59486106286104345</v>
          </cell>
          <cell r="I951">
            <v>0.66581301312444363</v>
          </cell>
          <cell r="J951">
            <v>0.7282539573982687</v>
          </cell>
        </row>
        <row r="952">
          <cell r="A952" t="str">
            <v>RHNS-SHELCHP</v>
          </cell>
          <cell r="B952" t="str">
            <v>VAR_fin</v>
          </cell>
          <cell r="C952" t="str">
            <v>RHNSELCHPC</v>
          </cell>
          <cell r="H952">
            <v>2.1967742450939465</v>
          </cell>
          <cell r="I952">
            <v>2.5337735919284974</v>
          </cell>
          <cell r="J952">
            <v>3.0027509186344088</v>
          </cell>
        </row>
        <row r="953">
          <cell r="A953" t="str">
            <v>RHNS-SHELCHP</v>
          </cell>
          <cell r="B953" t="str">
            <v>VAR_ncap</v>
          </cell>
          <cell r="C953" t="str">
            <v>-</v>
          </cell>
          <cell r="H953">
            <v>4.0584700090068898E-2</v>
          </cell>
          <cell r="I953">
            <v>0.101475186367787</v>
          </cell>
          <cell r="J953">
            <v>0.127982793485172</v>
          </cell>
        </row>
        <row r="954">
          <cell r="A954" t="str">
            <v>RHNS-SHELCHP</v>
          </cell>
          <cell r="B954" t="str">
            <v>VAR_cap</v>
          </cell>
          <cell r="C954" t="str">
            <v>-</v>
          </cell>
          <cell r="H954">
            <v>0.16013886193693644</v>
          </cell>
          <cell r="I954">
            <v>0.18478709594740261</v>
          </cell>
          <cell r="J954">
            <v>0.21879358417571754</v>
          </cell>
        </row>
        <row r="955">
          <cell r="A955" t="str">
            <v>SCOM-SHBIOBR</v>
          </cell>
          <cell r="B955" t="str">
            <v>VAR_fout</v>
          </cell>
          <cell r="C955" t="str">
            <v>SCOM-SHBIO</v>
          </cell>
        </row>
        <row r="956">
          <cell r="A956" t="str">
            <v>SCOM-SHBIOBR</v>
          </cell>
          <cell r="B956" t="str">
            <v>VAR_fin</v>
          </cell>
          <cell r="C956" t="str">
            <v>SBIO</v>
          </cell>
        </row>
        <row r="957">
          <cell r="A957" t="str">
            <v>SCOM-SHBIOBR</v>
          </cell>
          <cell r="B957" t="str">
            <v>VAR_ncap</v>
          </cell>
          <cell r="C957" t="str">
            <v>-</v>
          </cell>
          <cell r="H957">
            <v>6.8456726242591099E-5</v>
          </cell>
          <cell r="I957">
            <v>1.05089484413901E-4</v>
          </cell>
          <cell r="J957">
            <v>5.9749076672884601E-5</v>
          </cell>
        </row>
        <row r="958">
          <cell r="A958" t="str">
            <v>SCOM-SHBIOBR</v>
          </cell>
          <cell r="B958" t="str">
            <v>VAR_cap</v>
          </cell>
          <cell r="C958" t="str">
            <v>-</v>
          </cell>
          <cell r="H958">
            <v>2.7361223457264053E-2</v>
          </cell>
          <cell r="I958">
            <v>1.711461449524264E-4</v>
          </cell>
          <cell r="J958">
            <v>1.6273326087794981E-4</v>
          </cell>
        </row>
        <row r="959">
          <cell r="A959" t="str">
            <v>RHES-SHDEM</v>
          </cell>
          <cell r="B959" t="str">
            <v>VAR_fout</v>
          </cell>
          <cell r="C959" t="str">
            <v>RHES-SHD</v>
          </cell>
          <cell r="H959">
            <v>53.767681638297809</v>
          </cell>
          <cell r="I959">
            <v>53.176277634069031</v>
          </cell>
          <cell r="J959">
            <v>52.761021191325518</v>
          </cell>
        </row>
        <row r="960">
          <cell r="A960" t="str">
            <v>RHES-SHDEM</v>
          </cell>
          <cell r="B960" t="str">
            <v>VAR_fin</v>
          </cell>
          <cell r="C960" t="str">
            <v>RHES-SHPLT</v>
          </cell>
          <cell r="H960">
            <v>4.3900456691380228E-2</v>
          </cell>
          <cell r="I960">
            <v>4.8277795859651793E-2</v>
          </cell>
          <cell r="J960">
            <v>4.4645406542974622E-2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RHES-SHLTHC-NGA</v>
          </cell>
          <cell r="H961">
            <v>1.9218206304620701E-6</v>
          </cell>
          <cell r="I961">
            <v>3.9054765566411559E-6</v>
          </cell>
          <cell r="J961">
            <v>3.7235749484262888E-6</v>
          </cell>
        </row>
        <row r="962">
          <cell r="A962" t="str">
            <v>RHES-SHDEM</v>
          </cell>
          <cell r="B962" t="str">
            <v>VAR_fin</v>
          </cell>
          <cell r="C962" t="str">
            <v>RHES-SHSOL</v>
          </cell>
          <cell r="H962">
            <v>2.2873103411283281E-2</v>
          </cell>
          <cell r="I962">
            <v>2.2466315939472247E-2</v>
          </cell>
          <cell r="J962">
            <v>2.0636299995356131E-2</v>
          </cell>
        </row>
        <row r="963">
          <cell r="A963" t="str">
            <v>RHES-SHDEM</v>
          </cell>
          <cell r="B963" t="str">
            <v>VAR_fin</v>
          </cell>
          <cell r="C963" t="str">
            <v>RHES-SHLTHC-WOD</v>
          </cell>
          <cell r="H963">
            <v>3.4376483354070913E-6</v>
          </cell>
          <cell r="I963">
            <v>6.4303517852827788E-6</v>
          </cell>
          <cell r="J963">
            <v>1.8808883077000887E-6</v>
          </cell>
        </row>
        <row r="964">
          <cell r="A964" t="str">
            <v>RHES-SHDEM</v>
          </cell>
          <cell r="B964" t="str">
            <v>VAR_fin</v>
          </cell>
          <cell r="C964" t="str">
            <v>RHES-SHNGA</v>
          </cell>
          <cell r="H964">
            <v>4.8910966827207565</v>
          </cell>
          <cell r="I964">
            <v>2.3304110722226241</v>
          </cell>
          <cell r="J964">
            <v>0.96445351439550731</v>
          </cell>
        </row>
        <row r="965">
          <cell r="A965" t="str">
            <v>RHES-SHDEM</v>
          </cell>
          <cell r="B965" t="str">
            <v>VAR_fin</v>
          </cell>
          <cell r="C965" t="str">
            <v>RHES-SHNGAH</v>
          </cell>
          <cell r="H965">
            <v>6.6268943903147646</v>
          </cell>
          <cell r="I965">
            <v>7.7922501246213844</v>
          </cell>
          <cell r="J965">
            <v>7.3585628952441819</v>
          </cell>
        </row>
        <row r="966">
          <cell r="A966" t="str">
            <v>RHES-SHDEM</v>
          </cell>
          <cell r="B966" t="str">
            <v>VAR_fin</v>
          </cell>
          <cell r="C966" t="str">
            <v>RHES-SHCOA</v>
          </cell>
          <cell r="H966">
            <v>1.5968454861580419E-6</v>
          </cell>
          <cell r="J966">
            <v>3.8014345601664201E-6</v>
          </cell>
        </row>
        <row r="967">
          <cell r="A967" t="str">
            <v>RHES-SHDEM</v>
          </cell>
          <cell r="B967" t="str">
            <v>VAR_fin</v>
          </cell>
          <cell r="C967" t="str">
            <v>RHES-SHLFO</v>
          </cell>
          <cell r="H967">
            <v>4.190683423632116</v>
          </cell>
          <cell r="I967">
            <v>1.458792662123974</v>
          </cell>
          <cell r="J967">
            <v>0.19092662405263319</v>
          </cell>
        </row>
        <row r="968">
          <cell r="A968" t="str">
            <v>RHES-SHDEM</v>
          </cell>
          <cell r="B968" t="str">
            <v>VAR_fin</v>
          </cell>
          <cell r="C968" t="str">
            <v>RHES-SHCON</v>
          </cell>
          <cell r="H968">
            <v>6.7987088000153433</v>
          </cell>
          <cell r="I968">
            <v>8.8660530484439626</v>
          </cell>
          <cell r="J968">
            <v>13.376168765353322</v>
          </cell>
        </row>
        <row r="969">
          <cell r="A969" t="str">
            <v>RHES-SHDEM</v>
          </cell>
          <cell r="B969" t="str">
            <v>VAR_fin</v>
          </cell>
          <cell r="C969" t="str">
            <v>RHES-SHWOD</v>
          </cell>
          <cell r="H969">
            <v>3.5093053592452463</v>
          </cell>
          <cell r="I969">
            <v>2.7500367276560631</v>
          </cell>
          <cell r="J969">
            <v>1.4838503663314468</v>
          </cell>
        </row>
        <row r="970">
          <cell r="A970" t="str">
            <v>RHES-SHDEM</v>
          </cell>
          <cell r="B970" t="str">
            <v>VAR_fin</v>
          </cell>
          <cell r="C970" t="str">
            <v>RHES-SHLTHD</v>
          </cell>
          <cell r="H970">
            <v>2.0926169492458535</v>
          </cell>
          <cell r="I970">
            <v>2.2786448618121327</v>
          </cell>
          <cell r="J970">
            <v>2.2237456679654595</v>
          </cell>
        </row>
        <row r="971">
          <cell r="A971" t="str">
            <v>RHES-SHDEM</v>
          </cell>
          <cell r="B971" t="str">
            <v>VAR_fin</v>
          </cell>
          <cell r="C971" t="str">
            <v>RHES-SHELCB</v>
          </cell>
          <cell r="H971">
            <v>1.3414487855680992E-2</v>
          </cell>
          <cell r="I971">
            <v>3.2371347004854717E-3</v>
          </cell>
          <cell r="J971">
            <v>1.8170173708384667E-3</v>
          </cell>
        </row>
        <row r="972">
          <cell r="A972" t="str">
            <v>RHES-SHDEM</v>
          </cell>
          <cell r="B972" t="str">
            <v>VAR_fin</v>
          </cell>
          <cell r="C972" t="str">
            <v>RHES-SHELCH</v>
          </cell>
          <cell r="H972">
            <v>25.579143727315472</v>
          </cell>
          <cell r="I972">
            <v>27.626891659511926</v>
          </cell>
          <cell r="J972">
            <v>27.096846208821404</v>
          </cell>
        </row>
        <row r="973">
          <cell r="A973" t="str">
            <v>RHES-SHDEM</v>
          </cell>
          <cell r="B973" t="str">
            <v>VAR_fin</v>
          </cell>
          <cell r="C973" t="str">
            <v>RHES-SHNST</v>
          </cell>
          <cell r="H973">
            <v>4.2171177577874846E-6</v>
          </cell>
          <cell r="I973">
            <v>1.1387797600542861E-7</v>
          </cell>
          <cell r="J973">
            <v>1.0723757469481983E-6</v>
          </cell>
        </row>
        <row r="974">
          <cell r="A974" t="str">
            <v>D-RHEM_LTH_CHPNGA</v>
          </cell>
          <cell r="B974" t="str">
            <v>VAR_fout</v>
          </cell>
          <cell r="C974" t="str">
            <v>RHSA_LTH</v>
          </cell>
          <cell r="H974">
            <v>1.9777233459996293E-2</v>
          </cell>
          <cell r="I974">
            <v>2.7145672287564784E-3</v>
          </cell>
          <cell r="J974">
            <v>2.4509827839175132E-5</v>
          </cell>
        </row>
        <row r="975">
          <cell r="A975" t="str">
            <v>D-RHEM_LTH_CHPNGA</v>
          </cell>
          <cell r="B975" t="str">
            <v>VAR_fout</v>
          </cell>
          <cell r="C975" t="str">
            <v>RHEM_LTH_CHPNGA_ON</v>
          </cell>
          <cell r="H975">
            <v>1.8505128336978337E-2</v>
          </cell>
          <cell r="I975">
            <v>3.2340554448705419E-3</v>
          </cell>
          <cell r="J975">
            <v>1.3742438366673966E-5</v>
          </cell>
        </row>
        <row r="976">
          <cell r="A976" t="str">
            <v>D-RHEM_LTH_CHPNGA</v>
          </cell>
          <cell r="B976" t="str">
            <v>VAR_fout</v>
          </cell>
          <cell r="C976" t="str">
            <v>LTH</v>
          </cell>
          <cell r="H976">
            <v>3.6053542562865372E-5</v>
          </cell>
          <cell r="I976">
            <v>7.9907048584839794E-6</v>
          </cell>
          <cell r="J976">
            <v>1.6602193847522992E-5</v>
          </cell>
        </row>
        <row r="977">
          <cell r="A977" t="str">
            <v>D-RHEM_LTH_CHPNGA</v>
          </cell>
          <cell r="B977" t="str">
            <v>VAR_fin</v>
          </cell>
          <cell r="C977" t="str">
            <v>RHEM_LTH_CHPNGA</v>
          </cell>
          <cell r="H977">
            <v>3.8318415339537483E-2</v>
          </cell>
          <cell r="I977">
            <v>5.9566438128051003E-3</v>
          </cell>
          <cell r="J977">
            <v>5.4854460053372093E-5</v>
          </cell>
        </row>
        <row r="978">
          <cell r="A978" t="str">
            <v>RHEM-SHLTHCHPNGA</v>
          </cell>
          <cell r="B978" t="str">
            <v>VAR_fout</v>
          </cell>
          <cell r="C978" t="str">
            <v>RHEM-SHLTHC-NGA</v>
          </cell>
        </row>
        <row r="979">
          <cell r="A979" t="str">
            <v>RHEM-SHLTHCHPNGA</v>
          </cell>
          <cell r="B979" t="str">
            <v>VAR_fin</v>
          </cell>
          <cell r="C979" t="str">
            <v>RHEM_LTH_CHPNGA_ON</v>
          </cell>
        </row>
        <row r="980">
          <cell r="A980" t="str">
            <v>RHEM-SHLTHCHPNGA</v>
          </cell>
          <cell r="B980" t="str">
            <v>VAR_fin</v>
          </cell>
          <cell r="C980" t="str">
            <v>RHEMLTHCHPC</v>
          </cell>
        </row>
        <row r="981">
          <cell r="A981" t="str">
            <v>RHEM-SHLTHCHPNGA</v>
          </cell>
          <cell r="B981" t="str">
            <v>VAR_ncap</v>
          </cell>
          <cell r="C981" t="str">
            <v>-</v>
          </cell>
          <cell r="H981">
            <v>1.3623732296110299E-3</v>
          </cell>
          <cell r="I981">
            <v>3.33172403675894E-4</v>
          </cell>
          <cell r="J981">
            <v>3.9294700687720998E-8</v>
          </cell>
        </row>
        <row r="982">
          <cell r="A982" t="str">
            <v>RHEM-SHLTHCHPNGA</v>
          </cell>
          <cell r="B982" t="str">
            <v>VAR_cap</v>
          </cell>
          <cell r="C982" t="str">
            <v>-</v>
          </cell>
          <cell r="H982">
            <v>2.4158969537537711E-3</v>
          </cell>
          <cell r="I982">
            <v>7.6763322460632983E-4</v>
          </cell>
        </row>
        <row r="983">
          <cell r="A983" t="str">
            <v>D-RHES_SOLELC</v>
          </cell>
          <cell r="B983" t="str">
            <v>VAR_fout</v>
          </cell>
          <cell r="C983" t="str">
            <v>RHES_ELC</v>
          </cell>
          <cell r="H983">
            <v>4.6083910068871328</v>
          </cell>
          <cell r="I983">
            <v>4.7690767599136237</v>
          </cell>
          <cell r="J983">
            <v>5.1945478200624322</v>
          </cell>
        </row>
        <row r="984">
          <cell r="A984" t="str">
            <v>D-RHES_SOLELC</v>
          </cell>
          <cell r="B984" t="str">
            <v>VAR_fout</v>
          </cell>
          <cell r="C984" t="str">
            <v>ELC5</v>
          </cell>
          <cell r="H984">
            <v>2.3221724433425636E-3</v>
          </cell>
          <cell r="I984">
            <v>8.3379107318139536E-2</v>
          </cell>
          <cell r="J984">
            <v>7.2647726754863709E-2</v>
          </cell>
        </row>
        <row r="985">
          <cell r="A985" t="str">
            <v>D-RHES_SOLELC</v>
          </cell>
          <cell r="B985" t="str">
            <v>VAR_fin</v>
          </cell>
          <cell r="C985" t="str">
            <v>RHES_SOL_ELC</v>
          </cell>
          <cell r="H985">
            <v>4.6107131793304781</v>
          </cell>
          <cell r="I985">
            <v>4.8524558672317655</v>
          </cell>
          <cell r="J985">
            <v>5.2671955468172911</v>
          </cell>
        </row>
        <row r="986">
          <cell r="A986" t="str">
            <v>RHNM-SHCONBR1</v>
          </cell>
          <cell r="B986" t="str">
            <v>VAR_ncap</v>
          </cell>
          <cell r="C986" t="str">
            <v>-</v>
          </cell>
          <cell r="H986">
            <v>3.8004798823275601</v>
          </cell>
        </row>
        <row r="987">
          <cell r="A987" t="str">
            <v>RHNM-SHCONBR1</v>
          </cell>
          <cell r="B987" t="str">
            <v>VAR_cap</v>
          </cell>
          <cell r="C987" t="str">
            <v>-</v>
          </cell>
          <cell r="H987">
            <v>9.5586941873040132</v>
          </cell>
          <cell r="I987">
            <v>5.5288462906129894</v>
          </cell>
          <cell r="J987">
            <v>2.4831246956929931</v>
          </cell>
        </row>
        <row r="988">
          <cell r="A988" t="str">
            <v>D-DH2</v>
          </cell>
          <cell r="B988" t="str">
            <v>VAR_fout</v>
          </cell>
          <cell r="C988" t="str">
            <v>H2</v>
          </cell>
          <cell r="H988">
            <v>1.7776955381141007E-4</v>
          </cell>
          <cell r="I988">
            <v>12.112153267926354</v>
          </cell>
          <cell r="J988">
            <v>12.815438723178064</v>
          </cell>
        </row>
        <row r="989">
          <cell r="A989" t="str">
            <v>D-DH2</v>
          </cell>
          <cell r="B989" t="str">
            <v>VAR_fin</v>
          </cell>
          <cell r="C989" t="str">
            <v>H2_E</v>
          </cell>
          <cell r="H989">
            <v>1.7956520587011132E-4</v>
          </cell>
          <cell r="I989">
            <v>12.234498250430669</v>
          </cell>
          <cell r="J989">
            <v>12.944887599169746</v>
          </cell>
        </row>
        <row r="990">
          <cell r="A990" t="str">
            <v>D-DH2</v>
          </cell>
          <cell r="B990" t="str">
            <v>VAR_ncap</v>
          </cell>
          <cell r="C990" t="str">
            <v>-</v>
          </cell>
          <cell r="H990">
            <v>9.6789663806413602E-5</v>
          </cell>
          <cell r="I990">
            <v>1.6264154158550399</v>
          </cell>
          <cell r="J990">
            <v>9.4437437242418196E-2</v>
          </cell>
        </row>
        <row r="991">
          <cell r="A991" t="str">
            <v>D-DH2</v>
          </cell>
          <cell r="B991" t="str">
            <v>VAR_cap</v>
          </cell>
          <cell r="C991" t="str">
            <v>-</v>
          </cell>
          <cell r="H991">
            <v>1.8468340209576301E-4</v>
          </cell>
          <cell r="I991">
            <v>1.6266000992571299</v>
          </cell>
          <cell r="J991">
            <v>1.72103753649955</v>
          </cell>
        </row>
        <row r="992">
          <cell r="A992" t="str">
            <v>ITOT-SWHHFOBR</v>
          </cell>
          <cell r="B992" t="str">
            <v>VAR_fout</v>
          </cell>
          <cell r="C992" t="str">
            <v>ITOT-SWH</v>
          </cell>
          <cell r="H992">
            <v>6.5201970689027465E-3</v>
          </cell>
          <cell r="I992">
            <v>4.4291296905034941E-4</v>
          </cell>
        </row>
        <row r="993">
          <cell r="A993" t="str">
            <v>ITOT-SWHHFOBR</v>
          </cell>
          <cell r="B993" t="str">
            <v>VAR_fout</v>
          </cell>
          <cell r="C993" t="str">
            <v>CO2_I</v>
          </cell>
          <cell r="H993">
            <v>0.71921235463230304</v>
          </cell>
          <cell r="I993">
            <v>4.8349174009394799E-2</v>
          </cell>
        </row>
        <row r="994">
          <cell r="A994" t="str">
            <v>ITOT-SWHHFOBR</v>
          </cell>
          <cell r="B994" t="str">
            <v>VAR_fin</v>
          </cell>
          <cell r="C994" t="str">
            <v>IHFO</v>
          </cell>
          <cell r="H994">
            <v>9.3404201900299001E-3</v>
          </cell>
          <cell r="I994">
            <v>6.2791135077136105E-4</v>
          </cell>
        </row>
        <row r="995">
          <cell r="A995" t="str">
            <v>ITOT-SWHHFOBR</v>
          </cell>
          <cell r="B995" t="str">
            <v>VAR_ncap</v>
          </cell>
          <cell r="C995" t="str">
            <v>-</v>
          </cell>
          <cell r="H995">
            <v>5.8926864220542805E-4</v>
          </cell>
          <cell r="I995">
            <v>3.25507351907966E-5</v>
          </cell>
          <cell r="J995">
            <v>3.9604093351772898E-6</v>
          </cell>
        </row>
        <row r="996">
          <cell r="A996" t="str">
            <v>ITOT-SWHHFOBR</v>
          </cell>
          <cell r="B996" t="str">
            <v>VAR_cap</v>
          </cell>
          <cell r="C996" t="str">
            <v>-</v>
          </cell>
          <cell r="H996">
            <v>6.0771677015650921E-4</v>
          </cell>
          <cell r="I996">
            <v>4.2469847499482E-5</v>
          </cell>
          <cell r="J996">
            <v>-7.4098439408460228E-6</v>
          </cell>
        </row>
        <row r="997">
          <cell r="A997" t="str">
            <v>RHNM-SHCONBR2</v>
          </cell>
          <cell r="B997" t="str">
            <v>VAR_ncap</v>
          </cell>
          <cell r="C997" t="str">
            <v>-</v>
          </cell>
          <cell r="H997">
            <v>3.80047988232714</v>
          </cell>
        </row>
        <row r="998">
          <cell r="A998" t="str">
            <v>RHNM-SHCONBR2</v>
          </cell>
          <cell r="B998" t="str">
            <v>VAR_cap</v>
          </cell>
          <cell r="C998" t="str">
            <v>-</v>
          </cell>
          <cell r="H998">
            <v>9.5586941873069691</v>
          </cell>
          <cell r="I998">
            <v>5.5288462906160021</v>
          </cell>
          <cell r="J998">
            <v>2.4831246956969721</v>
          </cell>
        </row>
        <row r="999">
          <cell r="A999" t="str">
            <v>RHSA-WHSTG-ELCHP</v>
          </cell>
          <cell r="B999" t="str">
            <v>VAR_fout</v>
          </cell>
          <cell r="C999" t="str">
            <v>AUX_RHSA-WHSTG-ELCHP_OUT</v>
          </cell>
          <cell r="H999">
            <v>1.7420265773151846</v>
          </cell>
          <cell r="I999">
            <v>1.7624989818467809</v>
          </cell>
          <cell r="J999">
            <v>2.3121945324950297</v>
          </cell>
        </row>
        <row r="1000">
          <cell r="A1000" t="str">
            <v>RHSA-WHSTG-ELCHP</v>
          </cell>
          <cell r="B1000" t="str">
            <v>VAR_fout</v>
          </cell>
          <cell r="C1000" t="str">
            <v>RHSA-WHAELCH</v>
          </cell>
          <cell r="H1000">
            <v>1.7402862910241614</v>
          </cell>
          <cell r="I1000">
            <v>1.7607382436031787</v>
          </cell>
          <cell r="J1000">
            <v>2.3098846478471824</v>
          </cell>
        </row>
        <row r="1001">
          <cell r="A1001" t="str">
            <v>RHSA-WHSTG-ELCHP</v>
          </cell>
          <cell r="B1001" t="str">
            <v>VAR_fin</v>
          </cell>
          <cell r="C1001" t="str">
            <v>RHSA-WHAELCH</v>
          </cell>
          <cell r="H1001">
            <v>1.7402952143529278</v>
          </cell>
          <cell r="I1001">
            <v>1.7607526102674869</v>
          </cell>
          <cell r="J1001">
            <v>2.309889201903494</v>
          </cell>
        </row>
        <row r="1002">
          <cell r="A1002" t="str">
            <v>RHSA-WHSTG-ELCHP</v>
          </cell>
          <cell r="B1002" t="str">
            <v>VAR_ncap</v>
          </cell>
          <cell r="C1002" t="str">
            <v>-</v>
          </cell>
          <cell r="H1002">
            <v>8.3885067589561296E-2</v>
          </cell>
          <cell r="I1002">
            <v>8.7980834594641594E-2</v>
          </cell>
          <cell r="J1002">
            <v>0.15079925382770601</v>
          </cell>
        </row>
        <row r="1003">
          <cell r="A1003" t="str">
            <v>RHSA-WHSTG-ELCHP</v>
          </cell>
          <cell r="B1003" t="str">
            <v>VAR_cap</v>
          </cell>
          <cell r="C1003" t="str">
            <v>-</v>
          </cell>
          <cell r="H1003">
            <v>0.15820454202618806</v>
          </cell>
          <cell r="I1003">
            <v>0.20297556243991274</v>
          </cell>
          <cell r="J1003">
            <v>0.25001761307365367</v>
          </cell>
        </row>
        <row r="1004">
          <cell r="A1004" t="str">
            <v>RHNM-SHCONBR3</v>
          </cell>
          <cell r="B1004" t="str">
            <v>VAR_ncap</v>
          </cell>
          <cell r="C1004" t="str">
            <v>-</v>
          </cell>
          <cell r="H1004">
            <v>3.8004798823275601</v>
          </cell>
        </row>
        <row r="1005">
          <cell r="A1005" t="str">
            <v>RHNM-SHCONBR3</v>
          </cell>
          <cell r="B1005" t="str">
            <v>VAR_cap</v>
          </cell>
          <cell r="C1005" t="str">
            <v>-</v>
          </cell>
          <cell r="H1005">
            <v>9.5586941873040132</v>
          </cell>
          <cell r="I1005">
            <v>5.5288462906129894</v>
          </cell>
          <cell r="J1005">
            <v>2.4831246956929931</v>
          </cell>
        </row>
        <row r="1006">
          <cell r="A1006" t="str">
            <v>RES-ELCSPECADV</v>
          </cell>
          <cell r="B1006" t="str">
            <v>VAR_fout</v>
          </cell>
          <cell r="C1006" t="str">
            <v>RHSA-ELS</v>
          </cell>
          <cell r="H1006">
            <v>14.060209311408563</v>
          </cell>
          <cell r="I1006">
            <v>18.811576796313027</v>
          </cell>
          <cell r="J1006">
            <v>28.296771258646807</v>
          </cell>
        </row>
        <row r="1007">
          <cell r="A1007" t="str">
            <v>RES-ELCSPECADV</v>
          </cell>
          <cell r="B1007" t="str">
            <v>VAR_fin</v>
          </cell>
          <cell r="C1007" t="str">
            <v>RHSA_ELC</v>
          </cell>
          <cell r="H1007">
            <v>9.3734728742723838</v>
          </cell>
          <cell r="I1007">
            <v>12.54105119754202</v>
          </cell>
          <cell r="J1007">
            <v>18.86451417243121</v>
          </cell>
        </row>
        <row r="1008">
          <cell r="A1008" t="str">
            <v>RES-ELCSPECADV</v>
          </cell>
          <cell r="B1008" t="str">
            <v>VAR_ncap</v>
          </cell>
          <cell r="C1008" t="str">
            <v>-</v>
          </cell>
          <cell r="H1008">
            <v>0.50416200728073102</v>
          </cell>
          <cell r="I1008">
            <v>0.50221661714204202</v>
          </cell>
          <cell r="J1008">
            <v>1.3435233108279001</v>
          </cell>
        </row>
        <row r="1009">
          <cell r="A1009" t="str">
            <v>RES-ELCSPECADV</v>
          </cell>
          <cell r="B1009" t="str">
            <v>VAR_cap</v>
          </cell>
          <cell r="C1009" t="str">
            <v>-</v>
          </cell>
          <cell r="H1009">
            <v>1.4861542022676091</v>
          </cell>
          <cell r="I1009">
            <v>1.9883700687290431</v>
          </cell>
          <cell r="J1009">
            <v>2.990948785427241</v>
          </cell>
        </row>
        <row r="1010">
          <cell r="A1010" t="str">
            <v>ITOT-SWHSTG-ELCHP</v>
          </cell>
          <cell r="B1010" t="str">
            <v>VAR_fout</v>
          </cell>
          <cell r="C1010" t="str">
            <v>ITOT-SWHAELCH</v>
          </cell>
          <cell r="H1010">
            <v>5.0801200225741765E-3</v>
          </cell>
          <cell r="I1010">
            <v>0.21970188854242081</v>
          </cell>
          <cell r="J1010">
            <v>0.66390238171235749</v>
          </cell>
        </row>
        <row r="1011">
          <cell r="A1011" t="str">
            <v>ITOT-SWHSTG-ELCHP</v>
          </cell>
          <cell r="B1011" t="str">
            <v>VAR_fin</v>
          </cell>
          <cell r="C1011" t="str">
            <v>ITOT-SWHAELCH</v>
          </cell>
          <cell r="H1011">
            <v>6.2010567447380472E-3</v>
          </cell>
          <cell r="I1011">
            <v>0.25849601552607759</v>
          </cell>
          <cell r="J1011">
            <v>0.73772124477367662</v>
          </cell>
        </row>
        <row r="1012">
          <cell r="A1012" t="str">
            <v>ITOT-SWHSTG-ELCHP</v>
          </cell>
          <cell r="B1012" t="str">
            <v>VAR_ncap</v>
          </cell>
          <cell r="C1012" t="str">
            <v>-</v>
          </cell>
          <cell r="H1012">
            <v>4.2240188827653402E-2</v>
          </cell>
          <cell r="I1012">
            <v>5.0345696611753102E-2</v>
          </cell>
          <cell r="J1012">
            <v>0.11395435910082399</v>
          </cell>
        </row>
        <row r="1013">
          <cell r="A1013" t="str">
            <v>ITOT-SWHSTG-ELCHP</v>
          </cell>
          <cell r="B1013" t="str">
            <v>VAR_cap</v>
          </cell>
          <cell r="C1013" t="str">
            <v>-</v>
          </cell>
          <cell r="H1013">
            <v>0.10698623184906922</v>
          </cell>
          <cell r="I1013">
            <v>0.12824590462466287</v>
          </cell>
          <cell r="J1013">
            <v>0.16823315107096662</v>
          </cell>
        </row>
        <row r="1014">
          <cell r="A1014" t="str">
            <v>D-RHNS_LTH_CHPWOD</v>
          </cell>
          <cell r="B1014" t="str">
            <v>VAR_fout</v>
          </cell>
          <cell r="C1014" t="str">
            <v>RHNS_LTH_CHPWOD_ON</v>
          </cell>
          <cell r="I1014">
            <v>6.5050258198794402E-4</v>
          </cell>
        </row>
        <row r="1015">
          <cell r="A1015" t="str">
            <v>D-RHNS_LTH_CHPWOD</v>
          </cell>
          <cell r="B1015" t="str">
            <v>VAR_fout</v>
          </cell>
          <cell r="C1015" t="str">
            <v>RHSA_LTH</v>
          </cell>
          <cell r="H1015">
            <v>1.1333394966265049E-2</v>
          </cell>
          <cell r="I1015">
            <v>1.1553810958333683E-2</v>
          </cell>
          <cell r="J1015">
            <v>4.225888766167021E-3</v>
          </cell>
        </row>
        <row r="1016">
          <cell r="A1016" t="str">
            <v>D-RHNS_LTH_CHPWOD</v>
          </cell>
          <cell r="B1016" t="str">
            <v>VAR_fout</v>
          </cell>
          <cell r="C1016" t="str">
            <v>LTH</v>
          </cell>
          <cell r="H1016">
            <v>1.056541777919088E-5</v>
          </cell>
          <cell r="I1016">
            <v>1.5456053540506778E-5</v>
          </cell>
          <cell r="J1016">
            <v>7.9168421140854515E-6</v>
          </cell>
        </row>
        <row r="1017">
          <cell r="A1017" t="str">
            <v>D-RHNS_LTH_CHPWOD</v>
          </cell>
          <cell r="B1017" t="str">
            <v>VAR_fin</v>
          </cell>
          <cell r="C1017" t="str">
            <v>RHNS_LTH_CHPWOD</v>
          </cell>
          <cell r="H1017">
            <v>1.134440670798849E-2</v>
          </cell>
          <cell r="I1017">
            <v>1.2219905616663446E-2</v>
          </cell>
          <cell r="J1017">
            <v>4.2342138794493897E-3</v>
          </cell>
        </row>
        <row r="1018">
          <cell r="A1018" t="str">
            <v>RHNM-SHCONBR4</v>
          </cell>
          <cell r="B1018" t="str">
            <v>VAR_ncap</v>
          </cell>
          <cell r="C1018" t="str">
            <v>-</v>
          </cell>
          <cell r="H1018">
            <v>3.80047988232714</v>
          </cell>
        </row>
        <row r="1019">
          <cell r="A1019" t="str">
            <v>RHNM-SHCONBR4</v>
          </cell>
          <cell r="B1019" t="str">
            <v>VAR_cap</v>
          </cell>
          <cell r="C1019" t="str">
            <v>-</v>
          </cell>
          <cell r="H1019">
            <v>9.5586941873069691</v>
          </cell>
          <cell r="I1019">
            <v>5.5288462906160021</v>
          </cell>
          <cell r="J1019">
            <v>2.4831246956969721</v>
          </cell>
        </row>
        <row r="1020">
          <cell r="A1020" t="str">
            <v>D-SBIO</v>
          </cell>
          <cell r="B1020" t="str">
            <v>VAR_fout</v>
          </cell>
          <cell r="C1020" t="str">
            <v>SBIO</v>
          </cell>
          <cell r="H1020">
            <v>4.4092001706271731</v>
          </cell>
          <cell r="I1020">
            <v>2.9499119296165515</v>
          </cell>
          <cell r="J1020">
            <v>2.8720817471328273</v>
          </cell>
        </row>
        <row r="1021">
          <cell r="A1021" t="str">
            <v>D-SBIO</v>
          </cell>
          <cell r="B1021" t="str">
            <v>VAR_fin</v>
          </cell>
          <cell r="C1021" t="str">
            <v>BIO</v>
          </cell>
          <cell r="H1021">
            <v>4.4092001706271731</v>
          </cell>
          <cell r="I1021">
            <v>2.9499119296165515</v>
          </cell>
          <cell r="J1021">
            <v>2.8720817471328273</v>
          </cell>
        </row>
        <row r="1022">
          <cell r="A1022" t="str">
            <v>RHEM-SHDEM</v>
          </cell>
          <cell r="B1022" t="str">
            <v>VAR_fout</v>
          </cell>
          <cell r="C1022" t="str">
            <v>RHEM-SHD</v>
          </cell>
          <cell r="H1022">
            <v>62.262737744057844</v>
          </cell>
          <cell r="I1022">
            <v>61.113336815590174</v>
          </cell>
          <cell r="J1022">
            <v>59.847028445543884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RHEM-SHNST</v>
          </cell>
          <cell r="H1023">
            <v>5.1532308796969979E-6</v>
          </cell>
          <cell r="J1023">
            <v>4.4335124107095298E-6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RHEM-SHPLT</v>
          </cell>
          <cell r="H1024">
            <v>0.34682884125920366</v>
          </cell>
          <cell r="I1024">
            <v>0.36734618844288153</v>
          </cell>
          <cell r="J1024">
            <v>0.29625003306696468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RHEM-SHNGAH</v>
          </cell>
          <cell r="H1025">
            <v>8.6368520790385919</v>
          </cell>
          <cell r="I1025">
            <v>10.64509266659015</v>
          </cell>
          <cell r="J1025">
            <v>9.7082044455821883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RHEM-SHLTHC-WOD</v>
          </cell>
          <cell r="H1026">
            <v>3.3163164780334097E-6</v>
          </cell>
          <cell r="I1026">
            <v>3.554320376754574E-6</v>
          </cell>
          <cell r="J1026">
            <v>4.9974599418614912E-6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RHEM-SHSOL</v>
          </cell>
          <cell r="H1027">
            <v>1.1746996744872373E-2</v>
          </cell>
          <cell r="I1027">
            <v>1.1373781138606234E-2</v>
          </cell>
          <cell r="J1027">
            <v>9.5624858930520914E-3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RHEM-SHLTHD</v>
          </cell>
          <cell r="H1028">
            <v>5.4783757861980069</v>
          </cell>
          <cell r="I1028">
            <v>5.8156617486115421</v>
          </cell>
          <cell r="J1028">
            <v>5.4284807130632871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RHEM-SHNGA</v>
          </cell>
          <cell r="H1029">
            <v>9.5841205656035715</v>
          </cell>
          <cell r="I1029">
            <v>3.9466195422538686</v>
          </cell>
          <cell r="J1029">
            <v>1.4983298081002934</v>
          </cell>
        </row>
        <row r="1030">
          <cell r="A1030" t="str">
            <v>RHEM-SHDEM</v>
          </cell>
          <cell r="B1030" t="str">
            <v>VAR_fin</v>
          </cell>
          <cell r="C1030" t="str">
            <v>RHEM-SHELCB</v>
          </cell>
          <cell r="H1030">
            <v>3.9289798458862447E-3</v>
          </cell>
          <cell r="I1030">
            <v>3.1266421535543218E-3</v>
          </cell>
          <cell r="J1030">
            <v>4.1034915974354951E-3</v>
          </cell>
        </row>
        <row r="1031">
          <cell r="A1031" t="str">
            <v>RHEM-SHDEM</v>
          </cell>
          <cell r="B1031" t="str">
            <v>VAR_fin</v>
          </cell>
          <cell r="C1031" t="str">
            <v>RHEM-SHELCH</v>
          </cell>
          <cell r="H1031">
            <v>18.249094505667735</v>
          </cell>
          <cell r="I1031">
            <v>22.583342798305736</v>
          </cell>
          <cell r="J1031">
            <v>23.321214398551973</v>
          </cell>
        </row>
        <row r="1032">
          <cell r="A1032" t="str">
            <v>RHEM-SHDEM</v>
          </cell>
          <cell r="B1032" t="str">
            <v>VAR_fin</v>
          </cell>
          <cell r="C1032" t="str">
            <v>RHEM-SHLFO</v>
          </cell>
          <cell r="H1032">
            <v>7.2663670042225617</v>
          </cell>
          <cell r="I1032">
            <v>3.0098389147242282</v>
          </cell>
          <cell r="J1032">
            <v>0.51559717876996092</v>
          </cell>
        </row>
        <row r="1033">
          <cell r="A1033" t="str">
            <v>RHEM-SHDEM</v>
          </cell>
          <cell r="B1033" t="str">
            <v>VAR_fin</v>
          </cell>
          <cell r="C1033" t="str">
            <v>RHEM-SHCON</v>
          </cell>
          <cell r="H1033">
            <v>8.7459581005482541</v>
          </cell>
          <cell r="I1033">
            <v>11.374888006824392</v>
          </cell>
          <cell r="J1033">
            <v>17.042415757308074</v>
          </cell>
        </row>
        <row r="1034">
          <cell r="A1034" t="str">
            <v>RHEM-SHDEM</v>
          </cell>
          <cell r="B1034" t="str">
            <v>VAR_fin</v>
          </cell>
          <cell r="C1034" t="str">
            <v>RHEM-SHWOD</v>
          </cell>
          <cell r="H1034">
            <v>3.9404420916151537</v>
          </cell>
          <cell r="I1034">
            <v>3.356872856040753</v>
          </cell>
          <cell r="J1034">
            <v>2.0235268593983649</v>
          </cell>
        </row>
        <row r="1035">
          <cell r="A1035" t="str">
            <v>RHEM-SHDEM</v>
          </cell>
          <cell r="B1035" t="str">
            <v>VAR_fin</v>
          </cell>
          <cell r="C1035" t="str">
            <v>RHEM-SHLTHC-NGA</v>
          </cell>
          <cell r="H1035">
            <v>1.4779418617411566E-6</v>
          </cell>
          <cell r="I1035">
            <v>7.8620241950295268E-6</v>
          </cell>
          <cell r="J1035">
            <v>4.6381306095449607E-6</v>
          </cell>
        </row>
        <row r="1036">
          <cell r="A1036" t="str">
            <v>ITOT-SWHH2BR</v>
          </cell>
          <cell r="B1036" t="str">
            <v>VAR_fout</v>
          </cell>
          <cell r="C1036" t="str">
            <v>ITOT-SWH</v>
          </cell>
          <cell r="H1036">
            <v>7.877587390811402</v>
          </cell>
          <cell r="I1036">
            <v>8.4473416111331332</v>
          </cell>
          <cell r="J1036">
            <v>8.447334903375415</v>
          </cell>
        </row>
        <row r="1037">
          <cell r="A1037" t="str">
            <v>ITOT-SWHH2BR</v>
          </cell>
          <cell r="B1037" t="str">
            <v>VAR_fin</v>
          </cell>
          <cell r="C1037" t="str">
            <v>IH2</v>
          </cell>
          <cell r="H1037">
            <v>9.7644152376994509</v>
          </cell>
          <cell r="I1037">
            <v>10.447823457686383</v>
          </cell>
          <cell r="J1037">
            <v>10.40248677607488</v>
          </cell>
        </row>
        <row r="1038">
          <cell r="A1038" t="str">
            <v>ITOT-SWHH2BR</v>
          </cell>
          <cell r="B1038" t="str">
            <v>VAR_ncap</v>
          </cell>
          <cell r="C1038" t="str">
            <v>-</v>
          </cell>
          <cell r="H1038">
            <v>0.64360476656361298</v>
          </cell>
          <cell r="I1038">
            <v>7.3616320591940496E-2</v>
          </cell>
          <cell r="J1038">
            <v>0.356133134930329</v>
          </cell>
        </row>
        <row r="1039">
          <cell r="A1039" t="str">
            <v>ITOT-SWHH2BR</v>
          </cell>
          <cell r="B1039" t="str">
            <v>VAR_cap</v>
          </cell>
          <cell r="C1039" t="str">
            <v>-</v>
          </cell>
          <cell r="H1039">
            <v>0.64360476656361298</v>
          </cell>
          <cell r="I1039">
            <v>0.71720924384634832</v>
          </cell>
          <cell r="J1039">
            <v>0.68177364695019915</v>
          </cell>
        </row>
        <row r="1040">
          <cell r="A1040" t="str">
            <v>RHNS-SHSTG-ELC</v>
          </cell>
          <cell r="B1040" t="str">
            <v>VAR_fout</v>
          </cell>
          <cell r="C1040" t="str">
            <v>RHNS-SHAELCB</v>
          </cell>
          <cell r="H1040">
            <v>1.4093972661023526E-3</v>
          </cell>
          <cell r="I1040">
            <v>1.9372751173244772E-3</v>
          </cell>
          <cell r="J1040">
            <v>9.7666775386854904E-4</v>
          </cell>
        </row>
        <row r="1041">
          <cell r="A1041" t="str">
            <v>RHNS-SHSTG-ELC</v>
          </cell>
          <cell r="B1041" t="str">
            <v>VAR_fout</v>
          </cell>
          <cell r="C1041" t="str">
            <v>AUX_RHNS-SHSTG-ELC_OUT</v>
          </cell>
          <cell r="H1041">
            <v>1.4108066633684549E-3</v>
          </cell>
          <cell r="I1041">
            <v>1.9392123924418018E-3</v>
          </cell>
          <cell r="J1041">
            <v>9.7764442162241727E-4</v>
          </cell>
        </row>
        <row r="1042">
          <cell r="A1042" t="str">
            <v>RHNS-SHSTG-ELC</v>
          </cell>
          <cell r="B1042" t="str">
            <v>VAR_fin</v>
          </cell>
          <cell r="C1042" t="str">
            <v>RHNS-SHAELCB</v>
          </cell>
          <cell r="H1042">
            <v>1.4036091615092208E-3</v>
          </cell>
          <cell r="I1042">
            <v>1.92779060259255E-3</v>
          </cell>
          <cell r="J1042">
            <v>9.7541585085312449E-4</v>
          </cell>
        </row>
        <row r="1043">
          <cell r="A1043" t="str">
            <v>RHNS-SHSTG-ELC</v>
          </cell>
          <cell r="B1043" t="str">
            <v>VAR_ncap</v>
          </cell>
          <cell r="C1043" t="str">
            <v>-</v>
          </cell>
          <cell r="H1043">
            <v>1.7214025558545101E-4</v>
          </cell>
          <cell r="I1043">
            <v>1.4616867237527399E-4</v>
          </cell>
          <cell r="J1043">
            <v>5.0668680703199702E-5</v>
          </cell>
        </row>
        <row r="1044">
          <cell r="A1044" t="str">
            <v>RHNS-SHSTG-ELC</v>
          </cell>
          <cell r="B1044" t="str">
            <v>VAR_cap</v>
          </cell>
          <cell r="C1044" t="str">
            <v>-</v>
          </cell>
          <cell r="H1044">
            <v>8.4579567341873906E-4</v>
          </cell>
          <cell r="I1044">
            <v>3.6800624513779812E-4</v>
          </cell>
          <cell r="J1044">
            <v>1.5587449113632483E-4</v>
          </cell>
        </row>
        <row r="1045">
          <cell r="A1045" t="str">
            <v>RHES-SHCOABR</v>
          </cell>
          <cell r="B1045" t="str">
            <v>VAR_fout</v>
          </cell>
          <cell r="C1045" t="str">
            <v>CO2_R</v>
          </cell>
        </row>
        <row r="1046">
          <cell r="A1046" t="str">
            <v>RHES-SHCOABR</v>
          </cell>
          <cell r="B1046" t="str">
            <v>VAR_fout</v>
          </cell>
          <cell r="C1046" t="str">
            <v>RHES-SHCOA</v>
          </cell>
        </row>
        <row r="1047">
          <cell r="A1047" t="str">
            <v>RHES-SHCOABR</v>
          </cell>
          <cell r="B1047" t="str">
            <v>VAR_fin</v>
          </cell>
          <cell r="C1047" t="str">
            <v>RCOA</v>
          </cell>
        </row>
        <row r="1048">
          <cell r="A1048" t="str">
            <v>RHES-SHCOABR</v>
          </cell>
          <cell r="B1048" t="str">
            <v>VAR_cap</v>
          </cell>
          <cell r="C1048" t="str">
            <v>-</v>
          </cell>
          <cell r="H1048">
            <v>1.5447778037699835E-6</v>
          </cell>
        </row>
        <row r="1049">
          <cell r="A1049" t="str">
            <v>D-INGA</v>
          </cell>
          <cell r="B1049" t="str">
            <v>VAR_fout</v>
          </cell>
          <cell r="C1049" t="str">
            <v>CO2</v>
          </cell>
          <cell r="H1049">
            <v>564.87058786660805</v>
          </cell>
          <cell r="I1049">
            <v>190.91545391156501</v>
          </cell>
          <cell r="J1049">
            <v>82.964183861554105</v>
          </cell>
        </row>
        <row r="1050">
          <cell r="A1050" t="str">
            <v>D-INGA</v>
          </cell>
          <cell r="B1050" t="str">
            <v>VAR_fout</v>
          </cell>
          <cell r="C1050" t="str">
            <v>IH2</v>
          </cell>
          <cell r="H1050">
            <v>0.34632599996653485</v>
          </cell>
          <cell r="I1050">
            <v>0.17797316713277056</v>
          </cell>
          <cell r="J1050">
            <v>0.11976528174369434</v>
          </cell>
        </row>
        <row r="1051">
          <cell r="A1051" t="str">
            <v>D-INGA</v>
          </cell>
          <cell r="B1051" t="str">
            <v>VAR_fout</v>
          </cell>
          <cell r="C1051" t="str">
            <v>INGA</v>
          </cell>
          <cell r="H1051">
            <v>12.349638230527157</v>
          </cell>
          <cell r="I1051">
            <v>5.7408267820567955</v>
          </cell>
          <cell r="J1051">
            <v>3.8625659259457166</v>
          </cell>
        </row>
        <row r="1052">
          <cell r="A1052" t="str">
            <v>D-INGA</v>
          </cell>
          <cell r="B1052" t="str">
            <v>VAR_fin</v>
          </cell>
          <cell r="C1052" t="str">
            <v>NGA</v>
          </cell>
          <cell r="H1052">
            <v>10.015435955081704</v>
          </cell>
          <cell r="I1052">
            <v>3.3850257785738451</v>
          </cell>
          <cell r="J1052">
            <v>1.4709961677580501</v>
          </cell>
        </row>
        <row r="1053">
          <cell r="A1053" t="str">
            <v>D-INGA</v>
          </cell>
          <cell r="B1053" t="str">
            <v>VAR_fin</v>
          </cell>
          <cell r="C1053" t="str">
            <v>BNGA</v>
          </cell>
          <cell r="H1053">
            <v>2.3749901100313537</v>
          </cell>
          <cell r="I1053">
            <v>2.3749913578770276</v>
          </cell>
          <cell r="J1053">
            <v>2.4046197811259602</v>
          </cell>
        </row>
        <row r="1054">
          <cell r="A1054" t="str">
            <v>D-INGA</v>
          </cell>
          <cell r="B1054" t="str">
            <v>VAR_fin</v>
          </cell>
          <cell r="C1054" t="str">
            <v>H2</v>
          </cell>
          <cell r="H1054">
            <v>0.34632526543774828</v>
          </cell>
          <cell r="I1054">
            <v>0.17797124394831348</v>
          </cell>
          <cell r="J1054">
            <v>0.11975661345505229</v>
          </cell>
        </row>
        <row r="1055">
          <cell r="A1055" t="str">
            <v>D-INGA</v>
          </cell>
          <cell r="B1055" t="str">
            <v>VAR_ncap</v>
          </cell>
          <cell r="C1055" t="str">
            <v>-</v>
          </cell>
          <cell r="H1055">
            <v>5.4181503997315301E-6</v>
          </cell>
          <cell r="I1055">
            <v>4.6853671990394296E-6</v>
          </cell>
          <cell r="J1055">
            <v>1.0034329441039301E-5</v>
          </cell>
        </row>
        <row r="1056">
          <cell r="A1056" t="str">
            <v>D-INGA</v>
          </cell>
          <cell r="B1056" t="str">
            <v>VAR_cap</v>
          </cell>
          <cell r="C1056" t="str">
            <v>-</v>
          </cell>
          <cell r="H1056">
            <v>1.9844939187554922</v>
          </cell>
          <cell r="I1056">
            <v>1.9844986041226913</v>
          </cell>
          <cell r="J1056">
            <v>1.0954847056319521</v>
          </cell>
        </row>
        <row r="1057">
          <cell r="A1057" t="str">
            <v>RHEM-SHNGAHP</v>
          </cell>
          <cell r="B1057" t="str">
            <v>VAR_fout</v>
          </cell>
          <cell r="C1057" t="str">
            <v>CO2_R</v>
          </cell>
          <cell r="H1057">
            <v>245.80090414843701</v>
          </cell>
          <cell r="I1057">
            <v>299.23445870945</v>
          </cell>
          <cell r="J1057">
            <v>258.77027498408597</v>
          </cell>
        </row>
        <row r="1058">
          <cell r="A1058" t="str">
            <v>RHEM-SHNGAHP</v>
          </cell>
          <cell r="B1058" t="str">
            <v>VAR_fout</v>
          </cell>
          <cell r="C1058" t="str">
            <v>RHEM-SHANGAH</v>
          </cell>
          <cell r="H1058">
            <v>8.6368671189877233</v>
          </cell>
          <cell r="I1058">
            <v>10.645103592425944</v>
          </cell>
          <cell r="J1058">
            <v>9.7082248441495107</v>
          </cell>
        </row>
        <row r="1059">
          <cell r="A1059" t="str">
            <v>RHEM-SHNGAHP</v>
          </cell>
          <cell r="B1059" t="str">
            <v>VAR_fin</v>
          </cell>
          <cell r="C1059" t="str">
            <v>RHEMELCHPC</v>
          </cell>
          <cell r="H1059">
            <v>8.6368671189877233</v>
          </cell>
          <cell r="I1059">
            <v>10.645103592425944</v>
          </cell>
          <cell r="J1059">
            <v>9.7082248441495107</v>
          </cell>
        </row>
        <row r="1060">
          <cell r="A1060" t="str">
            <v>RHEM-SHNGAHP</v>
          </cell>
          <cell r="B1060" t="str">
            <v>VAR_fin</v>
          </cell>
          <cell r="C1060" t="str">
            <v>RNGA</v>
          </cell>
          <cell r="H1060">
            <v>4.3581720593694531</v>
          </cell>
          <cell r="I1060">
            <v>5.3055755090327947</v>
          </cell>
          <cell r="J1060">
            <v>4.5881254429802567</v>
          </cell>
        </row>
        <row r="1061">
          <cell r="A1061" t="str">
            <v>RHEM-SHNGAHP</v>
          </cell>
          <cell r="B1061" t="str">
            <v>VAR_ncap</v>
          </cell>
          <cell r="C1061" t="str">
            <v>-</v>
          </cell>
          <cell r="H1061">
            <v>0.119395141156977</v>
          </cell>
          <cell r="I1061">
            <v>0.38462057204734201</v>
          </cell>
          <cell r="J1061">
            <v>0.35714979035104999</v>
          </cell>
        </row>
        <row r="1062">
          <cell r="A1062" t="str">
            <v>RHEM-SHNGAHP</v>
          </cell>
          <cell r="B1062" t="str">
            <v>VAR_cap</v>
          </cell>
          <cell r="C1062" t="str">
            <v>-</v>
          </cell>
          <cell r="H1062">
            <v>0.60994165160182623</v>
          </cell>
          <cell r="I1062">
            <v>0.75209832064643223</v>
          </cell>
          <cell r="J1062">
            <v>0.68678503699863469</v>
          </cell>
        </row>
        <row r="1063">
          <cell r="A1063" t="str">
            <v>D-SPLT</v>
          </cell>
          <cell r="B1063" t="str">
            <v>VAR_fout</v>
          </cell>
          <cell r="C1063" t="str">
            <v>SPLT</v>
          </cell>
          <cell r="H1063">
            <v>0.80003452310482681</v>
          </cell>
          <cell r="I1063">
            <v>1.0209142697046476</v>
          </cell>
          <cell r="J1063">
            <v>1.0644082415949554</v>
          </cell>
        </row>
        <row r="1064">
          <cell r="A1064" t="str">
            <v>D-SPLT</v>
          </cell>
          <cell r="B1064" t="str">
            <v>VAR_fin</v>
          </cell>
          <cell r="C1064" t="str">
            <v>PLT</v>
          </cell>
          <cell r="H1064">
            <v>0.80003452310482681</v>
          </cell>
          <cell r="I1064">
            <v>1.0209142697046476</v>
          </cell>
          <cell r="J1064">
            <v>1.0644082415949554</v>
          </cell>
        </row>
        <row r="1065">
          <cell r="A1065" t="str">
            <v>RHES-SHCONBR</v>
          </cell>
          <cell r="B1065" t="str">
            <v>VAR_fout</v>
          </cell>
          <cell r="C1065" t="str">
            <v>RHES-SHCON</v>
          </cell>
          <cell r="H1065">
            <v>3.7400136530992348E-4</v>
          </cell>
          <cell r="I1065">
            <v>3.8374885251429093E-4</v>
          </cell>
          <cell r="J1065">
            <v>4.0308965963315092E-4</v>
          </cell>
        </row>
        <row r="1066">
          <cell r="A1066" t="str">
            <v>RHES-SHCONBR</v>
          </cell>
          <cell r="B1066" t="str">
            <v>VAR_fin</v>
          </cell>
          <cell r="C1066" t="str">
            <v>CON</v>
          </cell>
          <cell r="H1066">
            <v>3.7400136530992348E-4</v>
          </cell>
          <cell r="I1066">
            <v>3.8374885251429093E-4</v>
          </cell>
          <cell r="J1066">
            <v>4.0308965963315092E-4</v>
          </cell>
        </row>
        <row r="1067">
          <cell r="A1067" t="str">
            <v>RHES-SHCONBR</v>
          </cell>
          <cell r="B1067" t="str">
            <v>VAR_ncap</v>
          </cell>
          <cell r="C1067" t="str">
            <v>-</v>
          </cell>
          <cell r="H1067">
            <v>1.5520326465682999E-5</v>
          </cell>
          <cell r="I1067">
            <v>8.24189498749632E-7</v>
          </cell>
          <cell r="J1067">
            <v>5.4293502149212996E-7</v>
          </cell>
        </row>
        <row r="1068">
          <cell r="A1068" t="str">
            <v>RHES-SHCONBR</v>
          </cell>
          <cell r="B1068" t="str">
            <v>VAR_cap</v>
          </cell>
          <cell r="C1068" t="str">
            <v>-</v>
          </cell>
          <cell r="H1068">
            <v>2.9551712159451076E-5</v>
          </cell>
          <cell r="I1068">
            <v>3.0348798451802825E-5</v>
          </cell>
          <cell r="J1068">
            <v>3.1010957187002927E-5</v>
          </cell>
        </row>
        <row r="1069">
          <cell r="A1069" t="str">
            <v>RHSA-WHSOLBR</v>
          </cell>
          <cell r="B1069" t="str">
            <v>VAR_fout</v>
          </cell>
          <cell r="C1069" t="str">
            <v>RHSA-WHASOL</v>
          </cell>
          <cell r="H1069">
            <v>1.1390052544130445</v>
          </cell>
          <cell r="I1069">
            <v>1.2474340414013296</v>
          </cell>
          <cell r="J1069">
            <v>1.2682090958174057</v>
          </cell>
        </row>
        <row r="1070">
          <cell r="A1070" t="str">
            <v>RHSA-WHSOLBR</v>
          </cell>
          <cell r="B1070" t="str">
            <v>VAR_fin</v>
          </cell>
          <cell r="C1070" t="str">
            <v>SOL</v>
          </cell>
          <cell r="H1070">
            <v>1.1390052544130445</v>
          </cell>
          <cell r="I1070">
            <v>1.2474340414013296</v>
          </cell>
          <cell r="J1070">
            <v>1.2682090958174057</v>
          </cell>
        </row>
        <row r="1071">
          <cell r="A1071" t="str">
            <v>RHSA-WHSOLBR</v>
          </cell>
          <cell r="B1071" t="str">
            <v>VAR_fin</v>
          </cell>
          <cell r="C1071" t="str">
            <v>RHSASOLBRC</v>
          </cell>
          <cell r="H1071">
            <v>1.1390052544130445</v>
          </cell>
          <cell r="I1071">
            <v>1.2474340414013296</v>
          </cell>
          <cell r="J1071">
            <v>1.2682090958174057</v>
          </cell>
        </row>
        <row r="1072">
          <cell r="A1072" t="str">
            <v>RHSA-WHSOLBR</v>
          </cell>
          <cell r="B1072" t="str">
            <v>VAR_ncap</v>
          </cell>
          <cell r="C1072" t="str">
            <v>-</v>
          </cell>
          <cell r="H1072">
            <v>0.14154378502061199</v>
          </cell>
          <cell r="I1072">
            <v>0.14004559632632499</v>
          </cell>
          <cell r="J1072">
            <v>0.115793694713549</v>
          </cell>
        </row>
        <row r="1073">
          <cell r="A1073" t="str">
            <v>RHSA-WHSOLBR</v>
          </cell>
          <cell r="B1073" t="str">
            <v>VAR_cap</v>
          </cell>
          <cell r="C1073" t="str">
            <v>-</v>
          </cell>
          <cell r="H1073">
            <v>0.24858270008414338</v>
          </cell>
          <cell r="I1073">
            <v>0.2815899988614714</v>
          </cell>
          <cell r="J1073">
            <v>0.27730105389462084</v>
          </cell>
        </row>
        <row r="1074">
          <cell r="A1074" t="str">
            <v>SCOM-SHCONBR</v>
          </cell>
          <cell r="B1074" t="str">
            <v>VAR_ncap</v>
          </cell>
          <cell r="C1074" t="str">
            <v>-</v>
          </cell>
          <cell r="H1074">
            <v>6.7121782064644896E-7</v>
          </cell>
          <cell r="I1074">
            <v>2.77123404555699E-8</v>
          </cell>
          <cell r="J1074">
            <v>1.9084219941993699E-8</v>
          </cell>
        </row>
        <row r="1075">
          <cell r="A1075" t="str">
            <v>SCOM-SHCONBR</v>
          </cell>
          <cell r="B1075" t="str">
            <v>VAR_cap</v>
          </cell>
          <cell r="C1075" t="str">
            <v>-</v>
          </cell>
          <cell r="H1075">
            <v>7.4528251475512191E-7</v>
          </cell>
          <cell r="I1075">
            <v>7.4562837141079881E-7</v>
          </cell>
          <cell r="J1075">
            <v>8.5535404610564201E-7</v>
          </cell>
        </row>
        <row r="1076">
          <cell r="A1076" t="str">
            <v>RHNM-SHNGABR</v>
          </cell>
          <cell r="B1076" t="str">
            <v>VAR_fout</v>
          </cell>
          <cell r="C1076" t="str">
            <v>CO2_R</v>
          </cell>
          <cell r="H1076">
            <v>8.8013625128811999</v>
          </cell>
          <cell r="I1076">
            <v>5.2994076090790898</v>
          </cell>
        </row>
        <row r="1077">
          <cell r="A1077" t="str">
            <v>RHNM-SHNGABR</v>
          </cell>
          <cell r="B1077" t="str">
            <v>VAR_fout</v>
          </cell>
          <cell r="C1077" t="str">
            <v>RHNM-SHNGA</v>
          </cell>
          <cell r="H1077">
            <v>0.14977046215822415</v>
          </cell>
          <cell r="I1077">
            <v>9.0178620141480911E-2</v>
          </cell>
        </row>
        <row r="1078">
          <cell r="A1078" t="str">
            <v>RHNM-SHNGABR</v>
          </cell>
          <cell r="B1078" t="str">
            <v>VAR_fin</v>
          </cell>
          <cell r="C1078" t="str">
            <v>RNGA</v>
          </cell>
          <cell r="H1078">
            <v>0.15605252682413479</v>
          </cell>
          <cell r="I1078">
            <v>9.3961127820551202E-2</v>
          </cell>
        </row>
        <row r="1079">
          <cell r="A1079" t="str">
            <v>RHNM-SHNGABR</v>
          </cell>
          <cell r="B1079" t="str">
            <v>VAR_ncap</v>
          </cell>
          <cell r="C1079" t="str">
            <v>-</v>
          </cell>
          <cell r="H1079">
            <v>8.2369631104941199E-5</v>
          </cell>
          <cell r="I1079">
            <v>7.1287017659062198E-3</v>
          </cell>
          <cell r="J1079">
            <v>5.8058327729074703E-7</v>
          </cell>
        </row>
        <row r="1080">
          <cell r="A1080" t="str">
            <v>RHNM-SHNGABR</v>
          </cell>
          <cell r="B1080" t="str">
            <v>VAR_cap</v>
          </cell>
          <cell r="C1080" t="str">
            <v>-</v>
          </cell>
          <cell r="H1080">
            <v>1.4953365685398101E-2</v>
          </cell>
          <cell r="I1080">
            <v>7.2119842953447949E-3</v>
          </cell>
          <cell r="J1080">
            <v>2.6112468973689754E-5</v>
          </cell>
        </row>
        <row r="1081">
          <cell r="A1081" t="str">
            <v>RHES-SHSOLBR</v>
          </cell>
          <cell r="B1081" t="str">
            <v>VAR_fout</v>
          </cell>
          <cell r="C1081" t="str">
            <v>RHES-SHASOL</v>
          </cell>
          <cell r="H1081">
            <v>2.2844549510428885E-2</v>
          </cell>
          <cell r="I1081">
            <v>2.2440221202393106E-2</v>
          </cell>
          <cell r="J1081">
            <v>2.0611179365565134E-2</v>
          </cell>
        </row>
        <row r="1082">
          <cell r="A1082" t="str">
            <v>RHES-SHSOLBR</v>
          </cell>
          <cell r="B1082" t="str">
            <v>VAR_fin</v>
          </cell>
          <cell r="C1082" t="str">
            <v>SOL</v>
          </cell>
          <cell r="H1082">
            <v>2.2844549510428885E-2</v>
          </cell>
          <cell r="I1082">
            <v>2.2440221202393106E-2</v>
          </cell>
          <cell r="J1082">
            <v>2.0611179365565134E-2</v>
          </cell>
        </row>
        <row r="1083">
          <cell r="A1083" t="str">
            <v>RHES-SHSOLBR</v>
          </cell>
          <cell r="B1083" t="str">
            <v>VAR_ncap</v>
          </cell>
          <cell r="C1083" t="str">
            <v>-</v>
          </cell>
          <cell r="H1083">
            <v>3.4368923271162598E-6</v>
          </cell>
          <cell r="I1083">
            <v>3.3667057594379099E-3</v>
          </cell>
          <cell r="J1083">
            <v>6.1319584809366699E-4</v>
          </cell>
        </row>
        <row r="1084">
          <cell r="A1084" t="str">
            <v>RHES-SHSOLBR</v>
          </cell>
          <cell r="B1084" t="str">
            <v>VAR_cap</v>
          </cell>
          <cell r="C1084" t="str">
            <v>-</v>
          </cell>
          <cell r="H1084">
            <v>1.8470094354266241E-2</v>
          </cell>
          <cell r="I1084">
            <v>3.3700760779838846E-3</v>
          </cell>
          <cell r="J1084">
            <v>3.0576564633242286E-3</v>
          </cell>
        </row>
        <row r="1085">
          <cell r="A1085" t="str">
            <v>SCOM-SHSOLBR</v>
          </cell>
          <cell r="B1085" t="str">
            <v>VAR_fout</v>
          </cell>
          <cell r="C1085" t="str">
            <v>SCOM-SHASOL</v>
          </cell>
          <cell r="H1085">
            <v>0.66834242717664782</v>
          </cell>
          <cell r="I1085">
            <v>0.75268120180499631</v>
          </cell>
          <cell r="J1085">
            <v>0.80337379967798284</v>
          </cell>
        </row>
        <row r="1086">
          <cell r="A1086" t="str">
            <v>SCOM-SHSOLBR</v>
          </cell>
          <cell r="B1086" t="str">
            <v>VAR_fin</v>
          </cell>
          <cell r="C1086" t="str">
            <v>SOL</v>
          </cell>
          <cell r="H1086">
            <v>0.66834242717664782</v>
          </cell>
          <cell r="I1086">
            <v>0.75268120180499631</v>
          </cell>
          <cell r="J1086">
            <v>0.80337379967798284</v>
          </cell>
        </row>
        <row r="1087">
          <cell r="A1087" t="str">
            <v>SCOM-SHSOLBR</v>
          </cell>
          <cell r="B1087" t="str">
            <v>VAR_ncap</v>
          </cell>
          <cell r="C1087" t="str">
            <v>-</v>
          </cell>
          <cell r="H1087">
            <v>6.9079946561738506E-2</v>
          </cell>
          <cell r="I1087">
            <v>4.9428054118729602E-2</v>
          </cell>
          <cell r="J1087">
            <v>6.4109438774072894E-2</v>
          </cell>
        </row>
        <row r="1088">
          <cell r="A1088" t="str">
            <v>SCOM-SHSOLBR</v>
          </cell>
          <cell r="B1088" t="str">
            <v>VAR_cap</v>
          </cell>
          <cell r="C1088" t="str">
            <v>-</v>
          </cell>
          <cell r="H1088">
            <v>9.7193117566199111E-2</v>
          </cell>
          <cell r="I1088">
            <v>0.1185093169690916</v>
          </cell>
          <cell r="J1088">
            <v>0.12920081080323936</v>
          </cell>
        </row>
        <row r="1089">
          <cell r="A1089" t="str">
            <v>RHEM-SHSTG-ELCHP</v>
          </cell>
          <cell r="B1089" t="str">
            <v>VAR_fout</v>
          </cell>
          <cell r="C1089" t="str">
            <v>RHEM-SHAELCH</v>
          </cell>
          <cell r="H1089">
            <v>2.6726081268645747</v>
          </cell>
          <cell r="I1089">
            <v>3.3884235442447554</v>
          </cell>
          <cell r="J1089">
            <v>3.4152252631923372</v>
          </cell>
        </row>
        <row r="1090">
          <cell r="A1090" t="str">
            <v>RHEM-SHSTG-ELCHP</v>
          </cell>
          <cell r="B1090" t="str">
            <v>VAR_fout</v>
          </cell>
          <cell r="C1090" t="str">
            <v>AUX_RHEM-SHSTG-ELCHP_OUT</v>
          </cell>
          <cell r="H1090">
            <v>2.6752807349914396</v>
          </cell>
          <cell r="I1090">
            <v>3.3918119677890006</v>
          </cell>
          <cell r="J1090">
            <v>3.4186404884555284</v>
          </cell>
        </row>
        <row r="1091">
          <cell r="A1091" t="str">
            <v>RHEM-SHSTG-ELCHP</v>
          </cell>
          <cell r="B1091" t="str">
            <v>VAR_fin</v>
          </cell>
          <cell r="C1091" t="str">
            <v>RHEM-SHAELCH</v>
          </cell>
          <cell r="H1091">
            <v>2.6726226284855938</v>
          </cell>
          <cell r="I1091">
            <v>3.3884374849503507</v>
          </cell>
          <cell r="J1091">
            <v>3.4152400242942105</v>
          </cell>
        </row>
        <row r="1092">
          <cell r="A1092" t="str">
            <v>RHEM-SHSTG-ELCHP</v>
          </cell>
          <cell r="B1092" t="str">
            <v>VAR_ncap</v>
          </cell>
          <cell r="C1092" t="str">
            <v>-</v>
          </cell>
          <cell r="H1092">
            <v>0.19857922565044001</v>
          </cell>
          <cell r="I1092">
            <v>0.139606310163431</v>
          </cell>
          <cell r="J1092">
            <v>0.20231273288901699</v>
          </cell>
        </row>
        <row r="1093">
          <cell r="A1093" t="str">
            <v>RHEM-SHSTG-ELCHP</v>
          </cell>
          <cell r="B1093" t="str">
            <v>VAR_cap</v>
          </cell>
          <cell r="C1093" t="str">
            <v>-</v>
          </cell>
          <cell r="H1093">
            <v>0.30321927183846475</v>
          </cell>
          <cell r="I1093">
            <v>0.3752384397843252</v>
          </cell>
          <cell r="J1093">
            <v>0.38749423015778456</v>
          </cell>
        </row>
        <row r="1094">
          <cell r="A1094" t="str">
            <v>ITOT-SWHELCBR</v>
          </cell>
          <cell r="B1094" t="str">
            <v>VAR_fout</v>
          </cell>
          <cell r="C1094" t="str">
            <v>ITOT-SWHAELC</v>
          </cell>
          <cell r="H1094">
            <v>14.419922525463774</v>
          </cell>
          <cell r="I1094">
            <v>14.419920731896372</v>
          </cell>
          <cell r="J1094">
            <v>14.419920130310864</v>
          </cell>
        </row>
        <row r="1095">
          <cell r="A1095" t="str">
            <v>ITOT-SWHELCBR</v>
          </cell>
          <cell r="B1095" t="str">
            <v>VAR_fin</v>
          </cell>
          <cell r="C1095" t="str">
            <v>ITOT_ELC</v>
          </cell>
          <cell r="H1095">
            <v>17.04548156128266</v>
          </cell>
          <cell r="I1095">
            <v>17.022995759881521</v>
          </cell>
          <cell r="J1095">
            <v>16.978205162196176</v>
          </cell>
        </row>
        <row r="1096">
          <cell r="A1096" t="str">
            <v>ITOT-SWHELCBR</v>
          </cell>
          <cell r="B1096" t="str">
            <v>VAR_ncap</v>
          </cell>
          <cell r="C1096" t="str">
            <v>-</v>
          </cell>
          <cell r="H1096">
            <v>0.75400011295525904</v>
          </cell>
          <cell r="I1096">
            <v>0.179140611189919</v>
          </cell>
          <cell r="J1096">
            <v>0.76714361181288104</v>
          </cell>
        </row>
        <row r="1097">
          <cell r="A1097" t="str">
            <v>ITOT-SWHELCBR</v>
          </cell>
          <cell r="B1097" t="str">
            <v>VAR_cap</v>
          </cell>
          <cell r="C1097" t="str">
            <v>-</v>
          </cell>
          <cell r="H1097">
            <v>1.3429637825410665</v>
          </cell>
          <cell r="I1097">
            <v>1.1376753453268049</v>
          </cell>
          <cell r="J1097">
            <v>1.2160566711752283</v>
          </cell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907.34182954159905</v>
          </cell>
          <cell r="K4">
            <v>1121.8547444603241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839.04504982158994</v>
          </cell>
          <cell r="K5">
            <v>965.20308271704289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67.788886706556866</v>
          </cell>
          <cell r="K6">
            <v>57.592272098018753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0.50789301345169224</v>
          </cell>
          <cell r="K7">
            <v>99.059389645261504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-36.008393976033865</v>
          </cell>
          <cell r="K8">
            <v>-46.058495457709554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668.75003587752462</v>
          </cell>
          <cell r="K9">
            <v>2395.346128544375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745.97717072424769</v>
          </cell>
          <cell r="K10">
            <v>2285.5097586473453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228.56540649083678</v>
          </cell>
          <cell r="K11">
            <v>387.4154377858959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12.508578811542474</v>
          </cell>
          <cell r="K12">
            <v>37.976875587868371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82.985007078317381</v>
          </cell>
          <cell r="K13">
            <v>334.79331395094084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0.85688756752572603</v>
          </cell>
          <cell r="K14">
            <v>451.13234351381993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0.16555179169886114</v>
          </cell>
          <cell r="K15">
            <v>933.14820921078558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2.7397590750040807E-2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9.542348671357264E-3</v>
          </cell>
          <cell r="K17">
            <v>2.8994090499837349E-2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1739.777236236388</v>
          </cell>
          <cell r="K18">
            <v>6825.3327513583272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-36.618068335535355</v>
          </cell>
          <cell r="K19">
            <v>-46.975598782456323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832.43540669479069</v>
          </cell>
          <cell r="K20">
            <v>3461.953053211641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832.43540669479069</v>
          </cell>
          <cell r="K21">
            <v>3461.953053211641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-36.008393976033865</v>
          </cell>
          <cell r="K22">
            <v>-46.058495457709554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8.0367334359029705</v>
          </cell>
          <cell r="J23">
            <v>5.9748770837097496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20.993675824032898</v>
          </cell>
          <cell r="J24">
            <v>24.917601099753899</v>
          </cell>
          <cell r="K24">
            <v>27.7775831390876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1.2185032806382801</v>
          </cell>
          <cell r="J25">
            <v>0.32595271092045502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573.09983950853996</v>
          </cell>
          <cell r="J26">
            <v>235.99461203761101</v>
          </cell>
          <cell r="K26">
            <v>89.594432109683495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105.985722666868</v>
          </cell>
          <cell r="J27">
            <v>131.371491952003</v>
          </cell>
          <cell r="K27">
            <v>121.47828211059699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614.80778651172602</v>
          </cell>
          <cell r="J28">
            <v>254.66189165977701</v>
          </cell>
          <cell r="K28">
            <v>43.603134462971603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193.791729682951</v>
          </cell>
          <cell r="J29">
            <v>223.67422209284999</v>
          </cell>
          <cell r="K29">
            <v>198.61958165598799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5.20400796073978</v>
          </cell>
          <cell r="J30">
            <v>4.6496423292641298</v>
          </cell>
          <cell r="K30">
            <v>2.1209134732309201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4.1700429832994601</v>
          </cell>
          <cell r="J31">
            <v>3.7660126471058599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1.4510375368555</v>
          </cell>
          <cell r="J32">
            <v>0.46369474203941202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26.739434206204599</v>
          </cell>
          <cell r="J33">
            <v>31.602690019989399</v>
          </cell>
          <cell r="K33">
            <v>34.535650192502203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300.67728552539302</v>
          </cell>
          <cell r="J34">
            <v>143.26004708067799</v>
          </cell>
          <cell r="K34">
            <v>58.097440253856703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242.93940223381901</v>
          </cell>
          <cell r="J35">
            <v>147.551766772278</v>
          </cell>
          <cell r="K35">
            <v>66.864602986205199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203.25459536700399</v>
          </cell>
          <cell r="J36">
            <v>112.299460631511</v>
          </cell>
          <cell r="K36">
            <v>17.022560919856399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356.44209199538699</v>
          </cell>
          <cell r="J37">
            <v>124.23755269922999</v>
          </cell>
          <cell r="K37">
            <v>16.222995107204301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0.64881528809871902</v>
          </cell>
          <cell r="J38">
            <v>0.23275470272673199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3.82726858256127</v>
          </cell>
          <cell r="J39">
            <v>0.59649955533855703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245.80090414843701</v>
          </cell>
          <cell r="J41">
            <v>299.23445870945</v>
          </cell>
          <cell r="K41">
            <v>258.77027498408597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8.8013625128811999</v>
          </cell>
          <cell r="J42">
            <v>5.2994076090790898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2917.8902392513401</v>
          </cell>
          <cell r="J43">
            <v>1750.1146361353101</v>
          </cell>
          <cell r="K43">
            <v>934.707451395269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233.67807634120999</v>
          </cell>
          <cell r="J44">
            <v>289.88356930956701</v>
          </cell>
          <cell r="K44">
            <v>277.29822341065397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1.61269044244104</v>
          </cell>
          <cell r="J45">
            <v>0.27639744404623301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636.60407558781105</v>
          </cell>
          <cell r="J46">
            <v>337.59000803316098</v>
          </cell>
          <cell r="K46">
            <v>127.25022024867199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867.88280669133201</v>
          </cell>
          <cell r="J47">
            <v>499.015145011671</v>
          </cell>
          <cell r="K47">
            <v>93.715858935696303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1739.77764906279</v>
          </cell>
          <cell r="J48">
            <v>1126.7651197984501</v>
          </cell>
          <cell r="K48">
            <v>498.264302595022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3.1109349447622963</v>
          </cell>
          <cell r="J50">
            <v>2.0540306848376102</v>
          </cell>
          <cell r="K50">
            <v>0.15642212085388499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0.57119788776166203</v>
          </cell>
          <cell r="J51">
            <v>0.2816887644595964</v>
          </cell>
          <cell r="K51">
            <v>3.3257234147752598E-2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2.9875708769437512</v>
          </cell>
          <cell r="J52">
            <v>1.3402149532364851</v>
          </cell>
          <cell r="K52">
            <v>0.23578341493026031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830.02179324676297</v>
          </cell>
          <cell r="J53">
            <v>377.0614321999297</v>
          </cell>
          <cell r="K53">
            <v>59.023366793221825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4.1525418701602055</v>
          </cell>
          <cell r="J54">
            <v>0.88393058162795901</v>
          </cell>
          <cell r="K54">
            <v>0.13000495662019979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82.182339598583098</v>
          </cell>
          <cell r="J55">
            <v>7.2668348781753602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4.5637224307792927E-2</v>
          </cell>
          <cell r="J58">
            <v>1.6505749606772951E-2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0.1684277591606447</v>
          </cell>
          <cell r="J59">
            <v>1.7049252172010691E-2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0.62530927405741599</v>
          </cell>
          <cell r="J60">
            <v>6.0725297483042603E-2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0.13324619001896271</v>
          </cell>
          <cell r="J61">
            <v>2.8738345730398782E-2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0.45785313303504255</v>
          </cell>
          <cell r="J62">
            <v>3.3653628185283842E-2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9.5459861618830202E-2</v>
          </cell>
          <cell r="J63">
            <v>2.6763857262897088E-2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0.10086672154908091</v>
          </cell>
          <cell r="J64">
            <v>2.4764961090463302E-2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7.1369039052550501E-2</v>
          </cell>
          <cell r="J65">
            <v>1.9552526213497911E-2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0.107500444339546</v>
          </cell>
          <cell r="J66">
            <v>2.4235165470325021E-2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7.6123063071833433E-2</v>
          </cell>
          <cell r="J67">
            <v>1.8641099302776701E-2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0.12921258620811521</v>
          </cell>
          <cell r="J68">
            <v>2.8781825243527077E-2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7.8304182742259698E-2</v>
          </cell>
          <cell r="J69">
            <v>1.7909639791217218E-2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9.0766914997487697E-4</v>
          </cell>
          <cell r="J70">
            <v>1.1030487223471E-3</v>
          </cell>
          <cell r="K70">
            <v>2.9158887376418499E-4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5.8098833642075923E-2</v>
          </cell>
          <cell r="J71">
            <v>1.3782710166098621E-2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I72">
            <v>1.3255917353943E-3</v>
          </cell>
          <cell r="J72">
            <v>1.71951535022296E-3</v>
          </cell>
          <cell r="K72">
            <v>9.18488356155219E-4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J73">
            <v>5.0204145457060604E-4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0.73276516145542903</v>
          </cell>
          <cell r="J76">
            <v>1.2409795639503201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63.051089556474224</v>
          </cell>
          <cell r="J77">
            <v>32.032835962285283</v>
          </cell>
          <cell r="K77">
            <v>5.0939585648641037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978.04544438362905</v>
          </cell>
          <cell r="J78">
            <v>551.11874467050598</v>
          </cell>
          <cell r="K78">
            <v>149.732282905592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0.81829926118632068</v>
          </cell>
          <cell r="J79">
            <v>6.5653835746508502E-2</v>
          </cell>
          <cell r="K79">
            <v>3.7657474535617096E-2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1.2045308359529292</v>
          </cell>
          <cell r="J80">
            <v>0.2255575792104591</v>
          </cell>
          <cell r="K80">
            <v>3.9095586370762103E-2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0.58134926544679189</v>
          </cell>
          <cell r="J82">
            <v>0.40805450557096878</v>
          </cell>
          <cell r="K82">
            <v>6.6453836886780124E-2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0.15821391505625079</v>
          </cell>
          <cell r="J85">
            <v>2.0582419907524799E-2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4.379161325323238E-2</v>
          </cell>
          <cell r="J86">
            <v>4.6533895157834501E-2</v>
          </cell>
          <cell r="K86">
            <v>2.6631814091484501E-3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I87">
            <v>6.7442696439666605E-2</v>
          </cell>
          <cell r="J87">
            <v>4.0307631010556136E-2</v>
          </cell>
          <cell r="K87">
            <v>4.9175167250942696E-3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I88">
            <v>0.34346106794705256</v>
          </cell>
          <cell r="J88">
            <v>4.1283385312786089</v>
          </cell>
          <cell r="K88">
            <v>2.0471707551679619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I89">
            <v>7.6955015075470007E-2</v>
          </cell>
          <cell r="J89">
            <v>5.9968874808544896E-2</v>
          </cell>
          <cell r="K89">
            <v>4.5935006496012499E-3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I90">
            <v>3.3941310729821441</v>
          </cell>
          <cell r="J90">
            <v>8.5499637166314313E-2</v>
          </cell>
          <cell r="K90">
            <v>2.8726394481483002E-2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I91">
            <v>4.1894654553554485E-3</v>
          </cell>
          <cell r="J91">
            <v>5.9464667445051599E-3</v>
          </cell>
          <cell r="K91">
            <v>4.7603951606810398E-5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I92">
            <v>90.834692221139775</v>
          </cell>
          <cell r="J92">
            <v>5.9815287452943199E-2</v>
          </cell>
          <cell r="K92">
            <v>1.3200469337140501E-2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I93">
            <v>8.1375474338090895E-3</v>
          </cell>
          <cell r="J93">
            <v>6.2074263085133002E-3</v>
          </cell>
          <cell r="K93">
            <v>2.5496063587403398E-3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47.339790621152446</v>
          </cell>
          <cell r="J98">
            <v>6.2534237972383515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75.245578642111397</v>
          </cell>
          <cell r="J99">
            <v>10.869181665133899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43.659786673533915</v>
          </cell>
          <cell r="J100">
            <v>4.307807654802966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0.11395532617271988</v>
          </cell>
          <cell r="J101">
            <v>2.095586146654491E-2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20.884610703444093</v>
          </cell>
          <cell r="J102">
            <v>0.20790314283255282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1.6313482460236863</v>
          </cell>
          <cell r="J103">
            <v>1.961494191716736E-2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168.74392884613565</v>
          </cell>
          <cell r="J104">
            <v>20.961858230094663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10.15772100570025</v>
          </cell>
          <cell r="J105">
            <v>1.8444953470283701E-2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5.7837054489506965</v>
          </cell>
          <cell r="J106">
            <v>1.3906366952442819E-2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1.5163752058029571E-3</v>
          </cell>
          <cell r="J108">
            <v>1.6481575129524699E-3</v>
          </cell>
          <cell r="K108">
            <v>6.8351756155300551E-4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I109">
            <v>1.44929485829424E-3</v>
          </cell>
          <cell r="J109">
            <v>1.4609509331150699E-3</v>
          </cell>
          <cell r="K109">
            <v>6.8607595543569895E-4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I110">
            <v>2.26059508110898E-3</v>
          </cell>
          <cell r="K110">
            <v>2.2307189034178501E-3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0.23341522731470182</v>
          </cell>
          <cell r="J111">
            <v>2.8383794214189878E-2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K112">
            <v>1.3055956246590199E-3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I113">
            <v>2.9295336935825901E-2</v>
          </cell>
          <cell r="J113">
            <v>2.22178014643735E-2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I114">
            <v>35.387187903500049</v>
          </cell>
          <cell r="J114">
            <v>3.3110758025767852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I115">
            <v>2.3040095366155309</v>
          </cell>
          <cell r="J115">
            <v>1.9146958730234111E-2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I116">
            <v>20.333859109728976</v>
          </cell>
          <cell r="J116">
            <v>1.6379143443233428E-2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I117">
            <v>42.996217977869279</v>
          </cell>
          <cell r="J117">
            <v>3.046922917037505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I118">
            <v>1.2144940294438356</v>
          </cell>
          <cell r="J118">
            <v>1.673619852470451E-2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I119">
            <v>0.50959272497937758</v>
          </cell>
          <cell r="J119">
            <v>1.3411849051101231E-2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I120">
            <v>0.96326229680016218</v>
          </cell>
          <cell r="J120">
            <v>1.401691276464415E-2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I121">
            <v>725.95434167021767</v>
          </cell>
          <cell r="J121">
            <v>573.58101828148961</v>
          </cell>
          <cell r="K121">
            <v>12.258643885186601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I122">
            <v>0.13220372040798251</v>
          </cell>
          <cell r="J122">
            <v>0.13458144204565659</v>
          </cell>
          <cell r="K122">
            <v>1.2043012009910901E-2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I123">
            <v>0.57758315965263696</v>
          </cell>
          <cell r="J123">
            <v>0.28369358318849058</v>
          </cell>
          <cell r="K123">
            <v>3.2996780902866001E-2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I124">
            <v>2.4081222067553383</v>
          </cell>
          <cell r="J124">
            <v>1.4663709838044141</v>
          </cell>
          <cell r="K124">
            <v>0.25805706189933669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I125">
            <v>644.62361478323464</v>
          </cell>
          <cell r="J125">
            <v>264.69589903359042</v>
          </cell>
          <cell r="K125">
            <v>40.232943054231697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I126">
            <v>3.126854039310675</v>
          </cell>
          <cell r="J126">
            <v>3.0538847881282964</v>
          </cell>
          <cell r="K126">
            <v>1.6313524342437773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I127">
            <v>2.6237109601055302</v>
          </cell>
          <cell r="J127">
            <v>0.95968274437635714</v>
          </cell>
          <cell r="K127">
            <v>0.13907839294916299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I128">
            <v>19.241387373250738</v>
          </cell>
          <cell r="J128">
            <v>0.1928012444904201</v>
          </cell>
          <cell r="K128">
            <v>5.4751918770299196E-2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I129">
            <v>6.5442344317250143</v>
          </cell>
          <cell r="J129">
            <v>0.1020126312698922</v>
          </cell>
          <cell r="K129">
            <v>1.7373310884487101E-2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I130">
            <v>9.1134457277556487E-3</v>
          </cell>
          <cell r="J130">
            <v>9.4066090283318506E-3</v>
          </cell>
          <cell r="K130">
            <v>6.31317392187347E-4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I131">
            <v>0.17043810911610352</v>
          </cell>
          <cell r="J131">
            <v>4.4587333678955982E-2</v>
          </cell>
          <cell r="K131">
            <v>1.248245391715146E-2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I132">
            <v>9.4149716996539498E-2</v>
          </cell>
          <cell r="J132">
            <v>3.6710270722117889E-2</v>
          </cell>
          <cell r="K132">
            <v>1.0185947569823829E-2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I134">
            <v>0.16883095167964771</v>
          </cell>
          <cell r="J134">
            <v>4.6853294963363996E-2</v>
          </cell>
          <cell r="K134">
            <v>6.6915379835738899E-3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I135">
            <v>5.5807396330430229E-3</v>
          </cell>
          <cell r="J135">
            <v>5.4926975386839997E-3</v>
          </cell>
          <cell r="K135">
            <v>2.09848202973023E-3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I136">
            <v>4133.4334528517002</v>
          </cell>
          <cell r="J136">
            <v>2026.9271901562199</v>
          </cell>
          <cell r="K136">
            <v>394.41603115686303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-668.75003587752497</v>
          </cell>
          <cell r="K137">
            <v>-2395.34612854438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I138">
            <v>7068.5431189507999</v>
          </cell>
          <cell r="J138">
            <v>6256.1628764917396</v>
          </cell>
          <cell r="K138">
            <v>4235.2734559384498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I139">
            <v>0.56911387014798998</v>
          </cell>
          <cell r="J139">
            <v>5.90293094298956E-2</v>
          </cell>
          <cell r="K139">
            <v>4.6776306624027E-4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-745.977170724247</v>
          </cell>
          <cell r="K140">
            <v>-2285.5097586473398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464.52354671637602</v>
          </cell>
          <cell r="J142">
            <v>214.475488671005</v>
          </cell>
          <cell r="K142">
            <v>6.4927225052698902E-4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-228.56540649083701</v>
          </cell>
          <cell r="K143">
            <v>-387.41543778589602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-12.508578811542501</v>
          </cell>
          <cell r="K144">
            <v>-37.976875587868399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2444.3686373308001</v>
          </cell>
          <cell r="J145">
            <v>1211.3309024267901</v>
          </cell>
          <cell r="K145">
            <v>99.059339292891494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2085.5361510819598</v>
          </cell>
          <cell r="J146">
            <v>2077.4343541498902</v>
          </cell>
          <cell r="K146">
            <v>2063.75096964368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2.6699673273155198</v>
          </cell>
          <cell r="J147">
            <v>1.74135436969645</v>
          </cell>
          <cell r="K147">
            <v>2.3222751015630001E-2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3.7133564960044598</v>
          </cell>
          <cell r="J148">
            <v>1.7185131559390601</v>
          </cell>
          <cell r="K148">
            <v>0.10137506878406401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837.10909727782496</v>
          </cell>
          <cell r="J149">
            <v>517.06707850147097</v>
          </cell>
          <cell r="K149">
            <v>255.70157059548001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-2644.73181887191</v>
          </cell>
          <cell r="J150">
            <v>-760.30514176218696</v>
          </cell>
          <cell r="K150">
            <v>-4235.2731571333698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1684.2005233356001</v>
          </cell>
          <cell r="J151">
            <v>1024.0639060777301</v>
          </cell>
          <cell r="K151">
            <v>626.42883454590196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0.73142805556310697</v>
          </cell>
          <cell r="J152">
            <v>4.9170376601572398E-2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882.50992071701103</v>
          </cell>
          <cell r="J153">
            <v>507.41084251406897</v>
          </cell>
          <cell r="K153">
            <v>6.8499625310039795E-4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-82.985007078317395</v>
          </cell>
          <cell r="K155">
            <v>-334.79331395094101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1206.75144968785</v>
          </cell>
          <cell r="J156">
            <v>509.36703206896198</v>
          </cell>
          <cell r="K156">
            <v>8.0987526642464899E-4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1238.5806117562199</v>
          </cell>
          <cell r="J157">
            <v>268.77637720395501</v>
          </cell>
          <cell r="K157">
            <v>57.592272098018697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-0.85688756752572603</v>
          </cell>
          <cell r="K158">
            <v>-451.13234351381999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-0.165551791698861</v>
          </cell>
          <cell r="K159">
            <v>-933.14820921078604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1001.75524843265</v>
          </cell>
          <cell r="J160">
            <v>1073.7797176712099</v>
          </cell>
          <cell r="K160">
            <v>1086.8417372515501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-2.73975907500408E-2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I162">
            <v>188.12081579667901</v>
          </cell>
          <cell r="J162">
            <v>156.44061960962699</v>
          </cell>
          <cell r="K162">
            <v>5.0008902128324902E-5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I163">
            <v>564.87058786660805</v>
          </cell>
          <cell r="J163">
            <v>190.91545391156501</v>
          </cell>
          <cell r="K163">
            <v>82.964183861554105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-9.5423486713572606E-3</v>
          </cell>
          <cell r="K164">
            <v>-2.8994090499837401E-2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I165">
            <v>2240.4531071935698</v>
          </cell>
          <cell r="J165">
            <v>2460.2764420286198</v>
          </cell>
          <cell r="K165">
            <v>2552.9137978409099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I166">
            <v>19270.274863021001</v>
          </cell>
          <cell r="J166">
            <v>13970.9218077039</v>
          </cell>
          <cell r="K166">
            <v>-8.4817382114408106E-5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I167">
            <v>-0.137902777395711</v>
          </cell>
          <cell r="J167">
            <v>-0.20653935166700399</v>
          </cell>
          <cell r="K167">
            <v>-0.457621915592972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K168">
            <v>2241.5249536863598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K169">
            <v>2241.5249536863598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-55.74932581200175</v>
          </cell>
          <cell r="K170">
            <v>11.543865371207394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832.43540669479069</v>
          </cell>
          <cell r="K171">
            <v>3461.953053211641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832.43540669479069</v>
          </cell>
          <cell r="K172">
            <v>3461.953053211641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I173">
            <v>4117.9860760233078</v>
          </cell>
          <cell r="J173">
            <v>3556.7132140897006</v>
          </cell>
          <cell r="K173">
            <v>3233.5580112029165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I174">
            <v>2890.9519730234497</v>
          </cell>
          <cell r="J174">
            <v>1533.4309381466862</v>
          </cell>
          <cell r="K174">
            <v>626.42964442116875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I175">
            <v>3872.0187781688928</v>
          </cell>
          <cell r="J175">
            <v>1635.967344666534</v>
          </cell>
          <cell r="K175">
            <v>156.75303573366034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I176">
            <v>2243.1230745208845</v>
          </cell>
          <cell r="J176">
            <v>2462.0177963983115</v>
          </cell>
          <cell r="K176">
            <v>2552.9370205919308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I177">
            <v>1719.6190179948362</v>
          </cell>
          <cell r="J177">
            <v>1024.4779210155389</v>
          </cell>
          <cell r="K177">
            <v>255.70225559173326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I178">
            <v>2243.1230745208845</v>
          </cell>
          <cell r="J178">
            <v>1046.4212005579561</v>
          </cell>
          <cell r="K178">
            <v>-2579.0649723208162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-2.7397590750040807E-2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I180">
            <v>4117.970295529055</v>
          </cell>
          <cell r="J180">
            <v>3232.4746910848062</v>
          </cell>
          <cell r="K180">
            <v>1540.2255617967744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I181">
            <v>21204.792289781319</v>
          </cell>
          <cell r="J181">
            <v>14491.503105959546</v>
          </cell>
          <cell r="K181">
            <v>5786.5131594266168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8.2862804627949698E-5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K184">
            <v>2241.5249536863598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-1.6195075196804499E-6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I186">
            <v>2085.5361510819607</v>
          </cell>
          <cell r="J186">
            <v>2077.4343541498906</v>
          </cell>
          <cell r="K186">
            <v>2063.7509696436791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I187">
            <v>2085.5361510819607</v>
          </cell>
          <cell r="J187">
            <v>2077.4343541498906</v>
          </cell>
          <cell r="K187">
            <v>2063.7509696436791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722.226580828382</v>
          </cell>
          <cell r="K188">
            <v>2536.1664673013101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838.17659631938</v>
          </cell>
          <cell r="K189">
            <v>2567.98849286218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I191">
            <v>2535.9342623664102</v>
          </cell>
          <cell r="J191">
            <v>1884.2522393740501</v>
          </cell>
          <cell r="K191">
            <v>0.76848432581984905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I193">
            <v>1944.9752626034201</v>
          </cell>
          <cell r="J193">
            <v>1475.90526271822</v>
          </cell>
          <cell r="K193">
            <v>0.90878150638074495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1.81394310843134E-3</v>
          </cell>
          <cell r="K194">
            <v>0.60785489784513802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I195">
            <v>1.2437441676109801E-2</v>
          </cell>
          <cell r="J195">
            <v>2.8115912905375601E-2</v>
          </cell>
          <cell r="K195">
            <v>6.2260200370337104E-4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I196">
            <v>1.53529988972399</v>
          </cell>
          <cell r="J196">
            <v>1.2272725727876901</v>
          </cell>
          <cell r="K196">
            <v>1.3885876106573899E-2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1.5543404478068699E-3</v>
          </cell>
          <cell r="K197">
            <v>6.19139374053045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I198">
            <v>1.0780002225948</v>
          </cell>
          <cell r="J198">
            <v>0.45723360413042302</v>
          </cell>
          <cell r="K198">
            <v>8.5023902628370701E-3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I199">
            <v>4483.5352625238302</v>
          </cell>
          <cell r="J199">
            <v>4922.2766696134104</v>
          </cell>
          <cell r="K199">
            <v>5112.6544855024404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I200">
            <v>104.30659526150799</v>
          </cell>
          <cell r="J200">
            <v>22.1429436774043</v>
          </cell>
          <cell r="K200">
            <v>89.779575923353306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I201">
            <v>591.51715772643297</v>
          </cell>
          <cell r="J201">
            <v>286.73153899757801</v>
          </cell>
          <cell r="K201">
            <v>62.701276274924801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299.15857788681097</v>
          </cell>
          <cell r="K202">
            <v>534.40428667981598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I203">
            <v>428.20665859041998</v>
          </cell>
          <cell r="J203">
            <v>228.280752595433</v>
          </cell>
          <cell r="K203">
            <v>17.388040877267599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14.2944548899158</v>
          </cell>
          <cell r="K204">
            <v>65.214715160615796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0.49061984010966597</v>
          </cell>
          <cell r="J205">
            <v>0.50929523342395</v>
          </cell>
          <cell r="K205">
            <v>9.7591915852887595E-2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I206">
            <v>0.56911387014798998</v>
          </cell>
          <cell r="J206">
            <v>5.90293094298956E-2</v>
          </cell>
          <cell r="K206">
            <v>3.9058274041394798E-4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I207">
            <v>45.949315891338401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I208">
            <v>997.71549013353103</v>
          </cell>
          <cell r="J208">
            <v>772.54061744127398</v>
          </cell>
          <cell r="K208">
            <v>552.04157162263505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I209">
            <v>0.208527166321578</v>
          </cell>
          <cell r="J209">
            <v>0.10950788956006199</v>
          </cell>
          <cell r="K209">
            <v>6.6830091537457198E-2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I210">
            <v>4.0586288247617501</v>
          </cell>
          <cell r="J210">
            <v>2.1060271248834299</v>
          </cell>
          <cell r="K210">
            <v>0.40942116562290598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I211">
            <v>0.71921235463230304</v>
          </cell>
          <cell r="J211">
            <v>4.8349174009394799E-2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I212">
            <v>2173.7413196592001</v>
          </cell>
          <cell r="J212">
            <v>1625.98109421972</v>
          </cell>
          <cell r="K212">
            <v>1322.1037002943699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2.3096205753703699E-6</v>
          </cell>
          <cell r="J4">
            <v>2.4626953511075299E-6</v>
          </cell>
          <cell r="K4">
            <v>1.2572880125343001E-4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3.73385500079203E-3</v>
          </cell>
          <cell r="K5">
            <v>6.3489891692633603E-4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2.4113002437177401E-5</v>
          </cell>
          <cell r="J6">
            <v>0.38466248822593702</v>
          </cell>
          <cell r="K6">
            <v>0.111064241327733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4.8532416463454404E-6</v>
          </cell>
          <cell r="J7">
            <v>1.7619151967065201</v>
          </cell>
          <cell r="K7">
            <v>0.497896150272575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1.8606708607395301E-6</v>
          </cell>
          <cell r="J8">
            <v>5.9841691014697101E-6</v>
          </cell>
          <cell r="K8">
            <v>5.8182235518402E-6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4.01996505102468E-2</v>
          </cell>
          <cell r="K9">
            <v>3.2860288288277701E-6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0.14566090026622899</v>
          </cell>
          <cell r="J10">
            <v>6.04567252462248E-2</v>
          </cell>
          <cell r="K10">
            <v>0.17020166836293299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2.1123988002822201E-6</v>
          </cell>
          <cell r="J11">
            <v>3.76899205020411E-6</v>
          </cell>
          <cell r="K11">
            <v>6.4786911215588996E-4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1.8680230037992799E-2</v>
          </cell>
          <cell r="J12">
            <v>0.202809148169806</v>
          </cell>
          <cell r="K12">
            <v>8.6858041798737906E-2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I13">
            <v>4.1211706214567399E-2</v>
          </cell>
          <cell r="J13">
            <v>7.0761434295911502E-2</v>
          </cell>
          <cell r="K13">
            <v>1.6423037450208699E-6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I14">
            <v>0.43728067260133602</v>
          </cell>
          <cell r="J14">
            <v>2.1295620776235999E-6</v>
          </cell>
          <cell r="K14">
            <v>1.79439331197908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I15">
            <v>4.2109368747198402E-7</v>
          </cell>
          <cell r="J15">
            <v>5.4409687526868097E-7</v>
          </cell>
          <cell r="K15">
            <v>9.1055410645386405E-7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I16">
            <v>1.7301925330217702E-5</v>
          </cell>
          <cell r="J16">
            <v>1.64296278592079</v>
          </cell>
          <cell r="K16">
            <v>9.5418093545084806E-2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I17">
            <v>8.8098547803895801E-6</v>
          </cell>
          <cell r="J17">
            <v>9.7269658561137298E-2</v>
          </cell>
          <cell r="K17">
            <v>2.1664508439665099E-6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I18">
            <v>2.26929277719273E-5</v>
          </cell>
          <cell r="J18">
            <v>4.5507046198701699</v>
          </cell>
          <cell r="K18">
            <v>1.0598971870829401E-6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I19">
            <v>8.30986230407044E-7</v>
          </cell>
          <cell r="J19">
            <v>8.1439341736749904E-7</v>
          </cell>
          <cell r="K19">
            <v>1.85721600076449E-6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I20">
            <v>1.2315385033550101E-5</v>
          </cell>
          <cell r="J20">
            <v>0.149500293314317</v>
          </cell>
          <cell r="K20">
            <v>8.0288148382150898E-2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I21">
            <v>2.9782252756595699E-7</v>
          </cell>
          <cell r="J21">
            <v>3.7639837320914401E-7</v>
          </cell>
          <cell r="K21">
            <v>6.4722718670849104E-7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I22">
            <v>2.60276317212844E-5</v>
          </cell>
          <cell r="J22">
            <v>8.4183613715504202E-2</v>
          </cell>
          <cell r="K22">
            <v>3.9964460003504003E-5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8.7581538117431808E-3</v>
          </cell>
          <cell r="K23">
            <v>8.4759608286296504E-3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  <cell r="J24">
            <v>7.6214905001838996E-7</v>
          </cell>
          <cell r="K24">
            <v>9.1424603924776098E-5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I25">
            <v>0.32990097016577302</v>
          </cell>
          <cell r="J25">
            <v>2.0540283556045602</v>
          </cell>
          <cell r="K25">
            <v>0.76196685253873597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I26">
            <v>6.2316728312348098E-5</v>
          </cell>
          <cell r="J26">
            <v>3.2316950683860101E-3</v>
          </cell>
          <cell r="K26">
            <v>1.5417696484704499E-6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I27">
            <v>1.2580525902469899E-5</v>
          </cell>
          <cell r="J27">
            <v>8.2501419502161805E-2</v>
          </cell>
          <cell r="K27">
            <v>4.5583601904101101E-2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I28">
            <v>9.6789663806413602E-5</v>
          </cell>
          <cell r="J28">
            <v>1.6264154158550399</v>
          </cell>
          <cell r="K28">
            <v>9.4437437242418196E-2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I29">
            <v>7.0820299588445901E-7</v>
          </cell>
          <cell r="J29">
            <v>1.3001422548555899E-6</v>
          </cell>
          <cell r="K29">
            <v>5.3294821763944098E-5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I30">
            <v>5.4181503997315301E-6</v>
          </cell>
          <cell r="J30">
            <v>4.6853671990394296E-6</v>
          </cell>
          <cell r="K30">
            <v>1.0034329441039301E-5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I31">
            <v>7.3694892983924001E-6</v>
          </cell>
          <cell r="J31">
            <v>1.88506888112799E-3</v>
          </cell>
          <cell r="K31">
            <v>0.16515383913212001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  <cell r="J32">
            <v>3.04839659257776E-3</v>
          </cell>
          <cell r="K32">
            <v>3.0915142992618198E-3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I33">
            <v>2.3060084396665161E-6</v>
          </cell>
          <cell r="J33">
            <v>3.0484571780148997E-6</v>
          </cell>
          <cell r="K33">
            <v>1.2885409560841986E-4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  <cell r="J34">
            <v>3.73385500079203E-3</v>
          </cell>
          <cell r="K34">
            <v>4.3686405548880383E-3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I35">
            <v>2.8760211231483025E-5</v>
          </cell>
          <cell r="J35">
            <v>0.38469060960385237</v>
          </cell>
          <cell r="K35">
            <v>0.49574599094387989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I36">
            <v>4.9375409589911E-6</v>
          </cell>
          <cell r="J36">
            <v>1.7619195902204723</v>
          </cell>
          <cell r="K36">
            <v>2.2598131576649156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I37">
            <v>1.0275198112939647</v>
          </cell>
          <cell r="J37">
            <v>1.0275257954630663</v>
          </cell>
          <cell r="K37">
            <v>0.72469630046039812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  <cell r="J38">
            <v>4.01996505102468E-2</v>
          </cell>
          <cell r="K38">
            <v>4.0202936539075702E-2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I39">
            <v>0.28981524093783245</v>
          </cell>
          <cell r="J39">
            <v>0.31763683302766338</v>
          </cell>
          <cell r="K39">
            <v>0.37191136339020736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I40">
            <v>5.5606701763565299E-6</v>
          </cell>
          <cell r="J40">
            <v>9.3296622265606399E-6</v>
          </cell>
          <cell r="K40">
            <v>6.5719877438245096E-4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I41">
            <v>0.13038116620214113</v>
          </cell>
          <cell r="J41">
            <v>0.27606209340750965</v>
          </cell>
          <cell r="K41">
            <v>0.30529744228751959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I42">
            <v>4.1312802220423259E-2</v>
          </cell>
          <cell r="J42">
            <v>0.11207381022281541</v>
          </cell>
          <cell r="K42">
            <v>0.11203943555315947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I43">
            <v>0.19659648396703699</v>
          </cell>
          <cell r="J43">
            <v>0.55642549621520898</v>
          </cell>
          <cell r="K43">
            <v>1.66925283406384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I44">
            <v>0.95961960790097589</v>
          </cell>
          <cell r="J44">
            <v>0.95962015199785122</v>
          </cell>
          <cell r="K44">
            <v>0.48125671890590166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I45">
            <v>3.8783721298527503E-5</v>
          </cell>
          <cell r="J45">
            <v>1.6430015696420901</v>
          </cell>
          <cell r="K45">
            <v>1.7384002527235201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I46">
            <v>1.058114105846372E-5</v>
          </cell>
          <cell r="J46">
            <v>9.7279898685587382E-2</v>
          </cell>
          <cell r="K46">
            <v>9.7273565810148593E-2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I47">
            <v>6.8797771978074793E-5</v>
          </cell>
          <cell r="J47">
            <v>4.5507734176421497</v>
          </cell>
          <cell r="K47">
            <v>4.5507744775393304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I48">
            <v>2.2350561961706177</v>
          </cell>
          <cell r="J48">
            <v>2.2350570105640348</v>
          </cell>
          <cell r="K48">
            <v>1.1208971686437557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I49">
            <v>0.16241344275017441</v>
          </cell>
          <cell r="J49">
            <v>0.22482087348187083</v>
          </cell>
          <cell r="K49">
            <v>0.22979641362403086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I50">
            <v>3.0972414346439878</v>
          </cell>
          <cell r="J50">
            <v>3.0972418110423612</v>
          </cell>
          <cell r="K50">
            <v>1.5532846989098479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I51">
            <v>9.2781373587389355E-5</v>
          </cell>
          <cell r="J51">
            <v>8.4243963227344287E-2</v>
          </cell>
          <cell r="K51">
            <v>8.424390025046409E-2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  <cell r="J52">
            <v>8.7581538117431808E-3</v>
          </cell>
          <cell r="K52">
            <v>1.147547358682101E-2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  <cell r="J53">
            <v>7.6214905001838996E-7</v>
          </cell>
          <cell r="K53">
            <v>9.1934502382128944E-5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I54">
            <v>0.33095200185858503</v>
          </cell>
          <cell r="J54">
            <v>2.3846319492330772</v>
          </cell>
          <cell r="K54">
            <v>3.0790061687112424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I55">
            <v>9.9578968631367296E-5</v>
          </cell>
          <cell r="J55">
            <v>3.2948271252929684E-3</v>
          </cell>
          <cell r="K55">
            <v>3.2820689981796014E-3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I56">
            <v>0.11652101600873058</v>
          </cell>
          <cell r="J56">
            <v>0.1322274718691176</v>
          </cell>
          <cell r="K56">
            <v>0.12809286657910723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I57">
            <v>1.8468340209576301E-4</v>
          </cell>
          <cell r="J57">
            <v>1.6266000992571299</v>
          </cell>
          <cell r="K57">
            <v>1.72103753649955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I58">
            <v>1.1489824734479959E-4</v>
          </cell>
          <cell r="J58">
            <v>1.0115357895480043E-4</v>
          </cell>
          <cell r="K58">
            <v>5.4960572322207119E-5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I59">
            <v>1.9844939187554922</v>
          </cell>
          <cell r="J59">
            <v>1.9844986041226913</v>
          </cell>
          <cell r="K59">
            <v>1.0954847056319521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I60">
            <v>8.6542682334038693E-6</v>
          </cell>
          <cell r="J60">
            <v>1.8930758238709952E-3</v>
          </cell>
          <cell r="K60">
            <v>0.1670411078245386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  <cell r="J61">
            <v>3.04839659257776E-3</v>
          </cell>
          <cell r="K61">
            <v>5.2875371297363668E-3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  <cell r="J62">
            <v>839.04504982158994</v>
          </cell>
          <cell r="K62">
            <v>965.20308271704289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  <cell r="J63">
            <v>67.788886706556866</v>
          </cell>
          <cell r="K63">
            <v>57.592272098018753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  <cell r="J64">
            <v>0.50789301345169224</v>
          </cell>
          <cell r="K64">
            <v>99.059389645261504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I65">
            <v>0.15343118288983124</v>
          </cell>
          <cell r="J65">
            <v>0.16816075838931854</v>
          </cell>
          <cell r="K65">
            <v>0.19689461908315029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I66">
            <v>1.2719505008868057</v>
          </cell>
          <cell r="J66">
            <v>3.5999961017237063</v>
          </cell>
          <cell r="K66">
            <v>10.799836728666238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I67">
            <v>2.7275013444545613E-5</v>
          </cell>
          <cell r="J67">
            <v>8.3662130713199903E-2</v>
          </cell>
          <cell r="K67">
            <v>8.366281571608683E-2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I68">
            <v>11.789655555580872</v>
          </cell>
          <cell r="J68">
            <v>22.696816442379976</v>
          </cell>
          <cell r="K68">
            <v>28.09479239778333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  <cell r="K69">
            <v>2.7397590750040807E-2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  <cell r="J70">
            <v>9.542348671357264E-3</v>
          </cell>
          <cell r="K70">
            <v>2.8994090499837349E-2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  <cell r="K71">
            <v>3.5358505028280115E-4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I72">
            <v>0.9499052487477605</v>
          </cell>
          <cell r="J72">
            <v>2.044774049737065</v>
          </cell>
          <cell r="K72">
            <v>1.865527642336164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  <cell r="K73">
            <v>3.7661043942800536E-4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I74">
            <v>13.190697980442907</v>
          </cell>
          <cell r="J74">
            <v>14.60162332636293</v>
          </cell>
          <cell r="K74">
            <v>17.096523773660525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  <cell r="J75">
            <v>0.14464331769800373</v>
          </cell>
          <cell r="K75">
            <v>0.16928945987103727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I76">
            <v>13.190697980442907</v>
          </cell>
          <cell r="J76">
            <v>14.457020628384559</v>
          </cell>
          <cell r="K76">
            <v>16.927311680605687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  <cell r="J77">
            <v>14.876685280524654</v>
          </cell>
          <cell r="K77">
            <v>17.113529835408574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I78">
            <v>5.8647328841226016E-3</v>
          </cell>
          <cell r="J78">
            <v>4.4649579779147087E-3</v>
          </cell>
          <cell r="K78">
            <v>7.0596475822454847E-6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I80">
            <v>6.5839654184476154E-2</v>
          </cell>
          <cell r="J80">
            <v>3.0470091417359305E-2</v>
          </cell>
          <cell r="K80">
            <v>1.7974302975897788E-3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I81">
            <v>14.842359880812511</v>
          </cell>
          <cell r="J81">
            <v>9.1678560017991195</v>
          </cell>
          <cell r="K81">
            <v>4.533715790699997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I82">
            <v>29.861711406659555</v>
          </cell>
          <cell r="J82">
            <v>18.157161455278818</v>
          </cell>
          <cell r="K82">
            <v>11.106894229537261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I83">
            <v>10.015435955081704</v>
          </cell>
          <cell r="J83">
            <v>3.3850257785738451</v>
          </cell>
          <cell r="K83">
            <v>1.4709961677580501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I85">
            <v>464.52354671637602</v>
          </cell>
          <cell r="J85">
            <v>214.475488671005</v>
          </cell>
          <cell r="K85">
            <v>6.4927225052698902E-4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I86">
            <v>3.7133564960044598</v>
          </cell>
          <cell r="J86">
            <v>1.7185131559390601</v>
          </cell>
          <cell r="K86">
            <v>0.10137506878406401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I87">
            <v>837.10909727782496</v>
          </cell>
          <cell r="J87">
            <v>517.06707850147097</v>
          </cell>
          <cell r="K87">
            <v>255.70157059548001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I88">
            <v>1684.2005233356001</v>
          </cell>
          <cell r="J88">
            <v>1024.0639060777301</v>
          </cell>
          <cell r="K88">
            <v>626.42883454590196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I89">
            <v>882.50992071701103</v>
          </cell>
          <cell r="J89">
            <v>507.41084251406897</v>
          </cell>
          <cell r="K89">
            <v>6.8499625310039795E-4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I90">
            <v>1206.75144968785</v>
          </cell>
          <cell r="J90">
            <v>509.36703206896198</v>
          </cell>
          <cell r="K90">
            <v>8.0987526642464899E-4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I91">
            <v>1238.5806117562199</v>
          </cell>
          <cell r="J91">
            <v>268.77637720395501</v>
          </cell>
          <cell r="K91">
            <v>57.592272098018697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  <cell r="K92">
            <v>-2.73975907500408E-2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I93">
            <v>564.87058786660805</v>
          </cell>
          <cell r="J93">
            <v>190.91545391156501</v>
          </cell>
          <cell r="K93">
            <v>82.964183861554105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  <cell r="J94">
            <v>-9.5423486713572606E-3</v>
          </cell>
          <cell r="K94">
            <v>-2.8994090499837401E-2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J95">
            <v>5.6482362667500325E-5</v>
          </cell>
          <cell r="K95">
            <v>0.12055405387190754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I96">
            <v>6.4335629670792569</v>
          </cell>
          <cell r="J96">
            <v>3.0974321926110302</v>
          </cell>
          <cell r="K96">
            <v>0.23592999833470277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  <cell r="J97">
            <v>3.2224763450058105E-2</v>
          </cell>
          <cell r="K97">
            <v>2.1801154951897321E-2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  <cell r="J98">
            <v>3.2161314652990894E-2</v>
          </cell>
          <cell r="K98">
            <v>2.1616353273432757E-2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  <cell r="J99">
            <v>6.3448797067254179E-5</v>
          </cell>
          <cell r="K99">
            <v>1.8480167846453719E-4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  <cell r="J100">
            <v>1.9979276191914093E-5</v>
          </cell>
          <cell r="K100">
            <v>3.4625814714125559E-3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I101">
            <v>2.9738009332588047</v>
          </cell>
          <cell r="J101">
            <v>2.9741548861994982</v>
          </cell>
          <cell r="K101">
            <v>1.4852167907461618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  <cell r="K102">
            <v>1.0110557182692931E-3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  <cell r="K103">
            <v>4.6524348721421153E-4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  <cell r="K104">
            <v>5.4581223105508025E-4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I105">
            <v>1.9141786794173853E-3</v>
          </cell>
          <cell r="J105">
            <v>9.0646722337313541E-4</v>
          </cell>
          <cell r="K105">
            <v>7.0333837683299073E-6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I106">
            <v>1.7956520587011132E-4</v>
          </cell>
          <cell r="J106">
            <v>12.234498250430669</v>
          </cell>
          <cell r="K106">
            <v>12.944887599169746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I107">
            <v>1.7956520587011132E-4</v>
          </cell>
          <cell r="J107">
            <v>12.234498250430669</v>
          </cell>
          <cell r="K107">
            <v>12.944887599169746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I108">
            <v>3.9895621500421119</v>
          </cell>
          <cell r="J108">
            <v>8.4474437490112759</v>
          </cell>
          <cell r="K108">
            <v>9.3420707925188857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J109">
            <v>5.7059184841040732E-5</v>
          </cell>
          <cell r="K109">
            <v>0.12096412143753096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  <cell r="K110">
            <v>1.014285656671498E-3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I111">
            <v>1.7765248649369125E-2</v>
          </cell>
          <cell r="J111">
            <v>1.2777839250417691E-2</v>
          </cell>
          <cell r="K111">
            <v>1.7813397040877419E-3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I112">
            <v>0.66614973737096628</v>
          </cell>
          <cell r="J112">
            <v>1.9980288423412098</v>
          </cell>
          <cell r="K112">
            <v>2.6622672567867793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I113">
            <v>0.93085421817048108</v>
          </cell>
          <cell r="J113">
            <v>4.0619968957623582</v>
          </cell>
          <cell r="K113">
            <v>4.1521153231965195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I114">
            <v>2.3749901100313537</v>
          </cell>
          <cell r="J114">
            <v>2.3749913578770276</v>
          </cell>
          <cell r="K114">
            <v>2.4046197811259602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I115">
            <v>6.3028975131122866</v>
          </cell>
          <cell r="J115">
            <v>2.9101151787110573</v>
          </cell>
          <cell r="K115">
            <v>8.8096641862549332E-6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I116">
            <v>11.97435441949813</v>
          </cell>
          <cell r="J116">
            <v>6.8848146881149059</v>
          </cell>
          <cell r="K116">
            <v>9.2943860664911601E-6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I117">
            <v>16.373832424529866</v>
          </cell>
          <cell r="J117">
            <v>6.9113572872315006</v>
          </cell>
          <cell r="K117">
            <v>1.0988809585137694E-5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I118">
            <v>12.540435319465571</v>
          </cell>
          <cell r="J118">
            <v>17.360280900367705</v>
          </cell>
          <cell r="K118">
            <v>17.744661964437775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I119">
            <v>8.3209243540648403E-2</v>
          </cell>
          <cell r="J119">
            <v>4.3355353170703E-2</v>
          </cell>
          <cell r="K119">
            <v>3.4713716648520736E-3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I120">
            <v>4.380708913344777</v>
          </cell>
          <cell r="J120">
            <v>9.5440458522281979</v>
          </cell>
          <cell r="K120">
            <v>9.1569463292115429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  <cell r="J121">
            <v>0.91854860035984975</v>
          </cell>
          <cell r="K121">
            <v>0.78038309075906087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I122">
            <v>16.782935118647938</v>
          </cell>
          <cell r="J122">
            <v>3.6419563306768956</v>
          </cell>
          <cell r="K122">
            <v>0.78038309075906087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I123">
            <v>3.2330110126823568</v>
          </cell>
          <cell r="J123">
            <v>3.2330152617170298</v>
          </cell>
          <cell r="K123">
            <v>3.9012376624904341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I124">
            <v>15.459090050337572</v>
          </cell>
          <cell r="J124">
            <v>11.130293139556313</v>
          </cell>
          <cell r="K124">
            <v>7.1728447457327373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5.635099705111348E-5</v>
          </cell>
          <cell r="J125">
            <v>1.0297314161050436E-4</v>
          </cell>
          <cell r="K125">
            <v>9.3222014611396602E-5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2.5010366260277452E-4</v>
          </cell>
          <cell r="J126">
            <v>1.0239419583755898</v>
          </cell>
          <cell r="K126">
            <v>1.5637183302565321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I127">
            <v>3.4630386594528809E-5</v>
          </cell>
          <cell r="J127">
            <v>4.3049474173541056E-5</v>
          </cell>
          <cell r="K127">
            <v>4.0917248742036898E-5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I128">
            <v>5.3015137711116761E-5</v>
          </cell>
          <cell r="J128">
            <v>1.0403616643333171E-4</v>
          </cell>
          <cell r="K128">
            <v>6.6094217296734189E-5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I129">
            <v>1.0610714124601597E-4</v>
          </cell>
          <cell r="J129">
            <v>1.0236918995933748</v>
          </cell>
          <cell r="K129">
            <v>1.5635180967758833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  <cell r="K130">
            <v>3.5358505028280115E-4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5.5975106793824284E-5</v>
          </cell>
          <cell r="J131">
            <v>1.0537179781589978E-4</v>
          </cell>
          <cell r="K131">
            <v>9.6267386230178148E-5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2.4761469389491777E-4</v>
          </cell>
          <cell r="J132">
            <v>1.0137024876878049</v>
          </cell>
          <cell r="K132">
            <v>1.548080898510696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I133">
            <v>9.2465564666102765E-5</v>
          </cell>
          <cell r="J133">
            <v>1.0134011491762929</v>
          </cell>
          <cell r="K133">
            <v>1.5474912600982582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I134">
            <v>5.5935598641102746E-5</v>
          </cell>
          <cell r="J134">
            <v>1.085939388390227E-4</v>
          </cell>
          <cell r="K134">
            <v>3.6242664052737387E-4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I135">
            <v>4.323842379388791E-5</v>
          </cell>
          <cell r="J135">
            <v>8.7372774856545859E-5</v>
          </cell>
          <cell r="K135">
            <v>1.3094438567897801E-4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  <cell r="J136">
            <v>8.9006088432262247E-6</v>
          </cell>
          <cell r="K136">
            <v>8.2548698153213751E-6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I137">
            <v>0.9499052487477605</v>
          </cell>
          <cell r="J137">
            <v>2.044774049737065</v>
          </cell>
          <cell r="K137">
            <v>1.865527642336164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  <cell r="J138">
            <v>0.21523341344693878</v>
          </cell>
          <cell r="K138">
            <v>0.19454717946089503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  <cell r="K139">
            <v>3.7661043942800536E-4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I140">
            <v>8.8712618087788631</v>
          </cell>
          <cell r="J140">
            <v>17.154039729352512</v>
          </cell>
          <cell r="K140">
            <v>22.551354089013049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I141">
            <v>1.7776955381141007E-4</v>
          </cell>
          <cell r="J141">
            <v>12.112153267926354</v>
          </cell>
          <cell r="K141">
            <v>12.815438723178064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5.635099705111348E-5</v>
          </cell>
          <cell r="J142">
            <v>1.0297314161050436E-4</v>
          </cell>
          <cell r="K142">
            <v>9.3222014611396602E-5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I143">
            <v>2.5010366260277452E-4</v>
          </cell>
          <cell r="J143">
            <v>1.0239419583755898</v>
          </cell>
          <cell r="K143">
            <v>1.5637183302565321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I144">
            <v>3.4630386594528809E-5</v>
          </cell>
          <cell r="J144">
            <v>4.3049474173541056E-5</v>
          </cell>
          <cell r="K144">
            <v>4.0917248742036898E-5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I145">
            <v>5.3015137711116761E-5</v>
          </cell>
          <cell r="J145">
            <v>1.0403616643333171E-4</v>
          </cell>
          <cell r="K145">
            <v>6.6094217296734189E-5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I146">
            <v>1.0610714124601597E-4</v>
          </cell>
          <cell r="J146">
            <v>1.0236918995933748</v>
          </cell>
          <cell r="K146">
            <v>1.5635180967758833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  <cell r="J147">
            <v>19.320370494187852</v>
          </cell>
          <cell r="K147">
            <v>22.225363422608556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  <cell r="J148">
            <v>6.8375758944155488E-6</v>
          </cell>
          <cell r="K148">
            <v>3.4404716826868316E-3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I149">
            <v>2.5237732602682855E-4</v>
          </cell>
          <cell r="J149">
            <v>8.0167373341107951E-4</v>
          </cell>
          <cell r="K149">
            <v>6.5045187251467436E-5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  <cell r="J150">
            <v>1.3122122862283585</v>
          </cell>
          <cell r="K150">
            <v>1.1148329867986606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I151">
            <v>4.4454962560330673E-3</v>
          </cell>
          <cell r="J151">
            <v>4.8535481917320574E-3</v>
          </cell>
          <cell r="K151">
            <v>5.3892722596744283E-3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I152">
            <v>8.8255088276487422E-3</v>
          </cell>
          <cell r="J152">
            <v>1.4015798024678448E-2</v>
          </cell>
          <cell r="K152">
            <v>1.825134179455979E-2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  <cell r="I153">
            <v>0.34632526543774828</v>
          </cell>
          <cell r="J153">
            <v>0.17797124394831348</v>
          </cell>
          <cell r="K153">
            <v>0.11975661345505229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  <cell r="J154">
            <v>1.1946488532052787E-2</v>
          </cell>
          <cell r="K154">
            <v>2.3300416250002667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5.5975106793824325E-5</v>
          </cell>
          <cell r="J155">
            <v>1.0537179781589978E-4</v>
          </cell>
          <cell r="K155">
            <v>9.6267386230178148E-5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I156">
            <v>2.4761469389491777E-4</v>
          </cell>
          <cell r="J156">
            <v>1.0137024876878049</v>
          </cell>
          <cell r="K156">
            <v>1.548080898510696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I157">
            <v>9.2465564666102765E-5</v>
          </cell>
          <cell r="J157">
            <v>1.0134011491762929</v>
          </cell>
          <cell r="K157">
            <v>1.5474912600982582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I158">
            <v>5.5935598641102746E-5</v>
          </cell>
          <cell r="J158">
            <v>1.085939388390227E-4</v>
          </cell>
          <cell r="K158">
            <v>3.6242664052737387E-4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I159">
            <v>4.323842379388791E-5</v>
          </cell>
          <cell r="J159">
            <v>8.7372774856545859E-5</v>
          </cell>
          <cell r="K159">
            <v>1.3094438567897801E-4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I160">
            <v>30.694444427352025</v>
          </cell>
          <cell r="J160">
            <v>22.148332288863628</v>
          </cell>
          <cell r="K160">
            <v>15.210140615551424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I161">
            <v>4.380708913344777</v>
          </cell>
          <cell r="J161">
            <v>9.5440458522281979</v>
          </cell>
          <cell r="K161">
            <v>9.1569463292115429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I162">
            <v>1.5831754145796009</v>
          </cell>
          <cell r="J162">
            <v>3.4079567495617735</v>
          </cell>
          <cell r="K162">
            <v>3.1092127372269402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I163">
            <v>9.2053170375341322E-4</v>
          </cell>
          <cell r="J163">
            <v>2.8235969115704918</v>
          </cell>
          <cell r="K163">
            <v>2.8236200304179273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I164">
            <v>2.94545609314018E-3</v>
          </cell>
          <cell r="J164">
            <v>0.18101294737235826</v>
          </cell>
          <cell r="K164">
            <v>0.16757908139588046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I165">
            <v>2.7929902010891996</v>
          </cell>
          <cell r="J165">
            <v>3.1305282001572037</v>
          </cell>
          <cell r="K165">
            <v>3.0554858351312779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I166">
            <v>6.7730987908021516E-4</v>
          </cell>
          <cell r="J166">
            <v>9.5104356637455364E-4</v>
          </cell>
          <cell r="K166">
            <v>1.1074766666644099E-3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  <cell r="J167">
            <v>5.8728897120895933E-4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I168">
            <v>3.2645972313088403</v>
          </cell>
          <cell r="J168">
            <v>3.2004474080873986</v>
          </cell>
          <cell r="K168">
            <v>5.7580834989702616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I169">
            <v>1.0336747124548799E-3</v>
          </cell>
          <cell r="J169">
            <v>6.3524459509513367E-2</v>
          </cell>
          <cell r="K169">
            <v>5.8809995225787164E-2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I170">
            <v>0.23993955273925041</v>
          </cell>
          <cell r="J170">
            <v>0.23994122027449963</v>
          </cell>
          <cell r="K170">
            <v>0.23994475789014016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I171">
            <v>1.546779672945815E-3</v>
          </cell>
          <cell r="J171">
            <v>1.0877135258887962E-3</v>
          </cell>
          <cell r="K171">
            <v>1.2931766321150597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I172">
            <v>1.5489306996865242E-3</v>
          </cell>
          <cell r="J172">
            <v>1.0904729780255632E-3</v>
          </cell>
          <cell r="K172">
            <v>1.0604260232393916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I173">
            <v>3.0226135947224648</v>
          </cell>
          <cell r="J173">
            <v>3.0218698934513553</v>
          </cell>
          <cell r="K173">
            <v>3.2233632491052555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  <cell r="J174">
            <v>0.10125032238860261</v>
          </cell>
          <cell r="K174">
            <v>0.11850262190972602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I175">
            <v>7.6715591444915621</v>
          </cell>
          <cell r="J175">
            <v>8.4080379194659276</v>
          </cell>
          <cell r="K175">
            <v>9.8447309541575176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I176">
            <v>1.9141786794173853E-3</v>
          </cell>
          <cell r="J176">
            <v>9.0646722337313541E-4</v>
          </cell>
          <cell r="K176">
            <v>7.0333837683299073E-6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I177">
            <v>4.384767594218733</v>
          </cell>
          <cell r="J177">
            <v>6.0700282868418682</v>
          </cell>
          <cell r="K177">
            <v>6.2044272602929329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I178">
            <v>6.8187533611363961E-4</v>
          </cell>
          <cell r="J178">
            <v>2.0915532678299935</v>
          </cell>
          <cell r="K178">
            <v>2.0915703929021685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I179">
            <v>3.2330110126823568</v>
          </cell>
          <cell r="J179">
            <v>3.2330152617170298</v>
          </cell>
          <cell r="K179">
            <v>3.9012376624904341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I180">
            <v>1.1840004193713671</v>
          </cell>
          <cell r="J180">
            <v>1.1839969357448774</v>
          </cell>
          <cell r="K180">
            <v>1.1840069425798589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I181">
            <v>4.3714016888947773</v>
          </cell>
          <cell r="J181">
            <v>9.2559455104319373</v>
          </cell>
          <cell r="K181">
            <v>10.236196982107561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I182">
            <v>4.4092001706271731</v>
          </cell>
          <cell r="J182">
            <v>2.9499119296165515</v>
          </cell>
          <cell r="K182">
            <v>2.8720817471328273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I183">
            <v>16.657142654899602</v>
          </cell>
          <cell r="J183">
            <v>26.826895794039199</v>
          </cell>
          <cell r="K183">
            <v>74.828746472319395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I184">
            <v>1.1840004193713671</v>
          </cell>
          <cell r="J184">
            <v>1.1839969357448774</v>
          </cell>
          <cell r="K184">
            <v>1.1840069425798589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I185">
            <v>2.3461117689149273</v>
          </cell>
          <cell r="J185">
            <v>2.6296436881320515</v>
          </cell>
          <cell r="K185">
            <v>2.5666081015102766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I186">
            <v>11.775886115214812</v>
          </cell>
          <cell r="J186">
            <v>6.7708974899819578</v>
          </cell>
          <cell r="K186">
            <v>1.2715856029266797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I187">
            <v>1.3267848581271025</v>
          </cell>
          <cell r="J187">
            <v>2.6614911730490776</v>
          </cell>
          <cell r="K187">
            <v>0.10821410358253884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I188">
            <v>3.2407171247857179E-4</v>
          </cell>
          <cell r="J188">
            <v>4.5504476860026459E-4</v>
          </cell>
          <cell r="K188">
            <v>5.2989314194469409E-4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I189">
            <v>1.3271089298395817</v>
          </cell>
          <cell r="J189">
            <v>2.6619462178176763</v>
          </cell>
          <cell r="K189">
            <v>0.10874399672448354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I190">
            <v>17.843896944489526</v>
          </cell>
          <cell r="J190">
            <v>6.2112557220178424</v>
          </cell>
          <cell r="K190">
            <v>0.87605798398921675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I191">
            <v>16.101893122393438</v>
          </cell>
          <cell r="J191">
            <v>6.7970016544948848</v>
          </cell>
          <cell r="K191">
            <v>1.0427186961691888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I192">
            <v>2.3864949044027112E-4</v>
          </cell>
          <cell r="J192">
            <v>15.786449355394417</v>
          </cell>
          <cell r="K192">
            <v>15.786448291670423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I193">
            <v>2.386248582991512E-4</v>
          </cell>
          <cell r="J193">
            <v>15.786449355394417</v>
          </cell>
          <cell r="K193">
            <v>15.786448291670423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I194">
            <v>4.3714016888947773</v>
          </cell>
          <cell r="J194">
            <v>9.2559455104319373</v>
          </cell>
          <cell r="K194">
            <v>10.236196982107561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I195">
            <v>4.3714016888947773</v>
          </cell>
          <cell r="J195">
            <v>9.2559455104319373</v>
          </cell>
          <cell r="K195">
            <v>10.236196982107561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I196">
            <v>4.4490477181038301E-3</v>
          </cell>
          <cell r="J196">
            <v>4.8625584838947345E-3</v>
          </cell>
          <cell r="K196">
            <v>5.3970397246737795E-3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I197">
            <v>8.8290602897651092E-3</v>
          </cell>
          <cell r="J197">
            <v>1.4018382442630569E-2</v>
          </cell>
          <cell r="K197">
            <v>1.8257730251446929E-2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I198">
            <v>8.1825040333636764E-5</v>
          </cell>
          <cell r="J198">
            <v>0.25098639213959917</v>
          </cell>
          <cell r="K198">
            <v>0.25098844714826013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I199">
            <v>4.0313313785740265E-4</v>
          </cell>
          <cell r="J199">
            <v>2.4774539208710176E-2</v>
          </cell>
          <cell r="K199">
            <v>2.2935898138056961E-2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  <cell r="J200">
            <v>1.2946211189617367E-3</v>
          </cell>
          <cell r="K200">
            <v>8.3403365886965258E-3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I201">
            <v>5.8647328841226016E-3</v>
          </cell>
          <cell r="J201">
            <v>4.4649579779147087E-3</v>
          </cell>
          <cell r="K201">
            <v>7.0596475822454847E-6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  <cell r="I202">
            <v>0.34632599996653485</v>
          </cell>
          <cell r="J202">
            <v>0.17797316713277056</v>
          </cell>
          <cell r="K202">
            <v>0.11976528174369434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  <cell r="J203">
            <v>3.094284398800505E-2</v>
          </cell>
          <cell r="K203">
            <v>1.3467869813746059E-2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I204">
            <v>1.2719505008868057</v>
          </cell>
          <cell r="J204">
            <v>3.5999961017237063</v>
          </cell>
          <cell r="K204">
            <v>10.799836728666238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I205">
            <v>2.3864949044027112E-4</v>
          </cell>
          <cell r="J205">
            <v>15.786449355394417</v>
          </cell>
          <cell r="K205">
            <v>15.786448291670423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I206">
            <v>4.39198126745932E-3</v>
          </cell>
          <cell r="J206">
            <v>3.3099507974889701E-3</v>
          </cell>
          <cell r="K206">
            <v>1.6907798581354101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I207">
            <v>16.657142654899602</v>
          </cell>
          <cell r="J207">
            <v>26.826895794039199</v>
          </cell>
          <cell r="K207">
            <v>74.828746472319395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I208">
            <v>16.657142654899602</v>
          </cell>
          <cell r="J208">
            <v>26.826895794039199</v>
          </cell>
          <cell r="K208">
            <v>74.828746472319395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I209">
            <v>11.789655555580872</v>
          </cell>
          <cell r="J209">
            <v>22.696816442379976</v>
          </cell>
          <cell r="K209">
            <v>28.09479239778333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  <cell r="J210">
            <v>0.34216376145206662</v>
          </cell>
          <cell r="K210">
            <v>0.39361118621439672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  <cell r="J211">
            <v>0.21523341344693878</v>
          </cell>
          <cell r="K211">
            <v>0.19454717946089503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I212">
            <v>11.789052237579892</v>
          </cell>
          <cell r="J212">
            <v>22.134244812067745</v>
          </cell>
          <cell r="K212">
            <v>27.501651328064689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I213">
            <v>7.184039251561409E-5</v>
          </cell>
          <cell r="J213">
            <v>4.4149499359111772E-3</v>
          </cell>
          <cell r="K213">
            <v>4.0872946681922082E-3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I214">
            <v>5.3147760846485807E-4</v>
          </cell>
          <cell r="J214">
            <v>7.4627342050443335E-4</v>
          </cell>
          <cell r="K214">
            <v>8.6902475278929751E-4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  <cell r="J215">
            <v>1.3232056824282072E-5</v>
          </cell>
          <cell r="K215">
            <v>2.6384622354852024E-5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I216">
            <v>4.4092001706271731</v>
          </cell>
          <cell r="J216">
            <v>2.9499119296165515</v>
          </cell>
          <cell r="K216">
            <v>2.8720817471328273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I217">
            <v>12.349638230527157</v>
          </cell>
          <cell r="J217">
            <v>5.7408267820567955</v>
          </cell>
          <cell r="K217">
            <v>3.8625659259457166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  <cell r="J218">
            <v>4.8737858002998111E-3</v>
          </cell>
          <cell r="K218">
            <v>1.3514234555646865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I219">
            <v>13.190697980442907</v>
          </cell>
          <cell r="J219">
            <v>14.60162332636293</v>
          </cell>
          <cell r="K219">
            <v>17.096523773660525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I220">
            <v>1.2719505008868</v>
          </cell>
          <cell r="J220">
            <v>3.5999961017237099</v>
          </cell>
          <cell r="K220">
            <v>10.7998367286662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I221">
            <v>2.3864949044027101E-4</v>
          </cell>
          <cell r="J221">
            <v>15.786449355394399</v>
          </cell>
          <cell r="K221">
            <v>15.7864482916704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  <cell r="J222">
            <v>1.4740418697455401E-3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3.1109349447622963</v>
          </cell>
          <cell r="I8">
            <v>2.0540306848376102</v>
          </cell>
          <cell r="J8">
            <v>0.15642212085388499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6.3700500792749108E-3</v>
          </cell>
          <cell r="I9">
            <v>4.310022957417582E-3</v>
          </cell>
          <cell r="J9">
            <v>3.3572148356811099E-4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5.515842100642359E-2</v>
          </cell>
          <cell r="I10">
            <v>3.6418983773716503E-2</v>
          </cell>
          <cell r="J10">
            <v>2.7734418591114393E-3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1.01547081800542E-4</v>
          </cell>
          <cell r="I11">
            <v>4.9685596213043999E-5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1.217099435022E-4</v>
          </cell>
          <cell r="I12">
            <v>1.1333892955325431E-4</v>
          </cell>
          <cell r="J12">
            <v>8.7192575243446808E-6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7.4071929029824422E-3</v>
          </cell>
          <cell r="I13">
            <v>4.3767556025868853E-3</v>
          </cell>
          <cell r="J13">
            <v>7.0852276441832796E-4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7.4071929029824422E-3</v>
          </cell>
          <cell r="I14">
            <v>4.3767556025868853E-3</v>
          </cell>
          <cell r="J14">
            <v>7.0852276441832796E-4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4.2365589344298398E-4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1.1063460168712772E-3</v>
          </cell>
          <cell r="I16">
            <v>6.5673209194075193E-4</v>
          </cell>
          <cell r="J16">
            <v>1.057463247667987E-4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0.80007772821933643</v>
          </cell>
          <cell r="I17">
            <v>1.2407150361710528</v>
          </cell>
          <cell r="J17">
            <v>2.7008163477284968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2.671751118381462</v>
          </cell>
          <cell r="I18">
            <v>3.9505423459243252</v>
          </cell>
          <cell r="J18">
            <v>7.9810032798782506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8.4725554653930293E-3</v>
          </cell>
          <cell r="I19">
            <v>1.7554694760295399E-2</v>
          </cell>
          <cell r="J19">
            <v>4.9623545064091799E-2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1.5285044716389581E-2</v>
          </cell>
          <cell r="I20">
            <v>2.3341334150958001E-2</v>
          </cell>
          <cell r="J20">
            <v>5.27041945086505E-2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3.3627510956865649E-2</v>
          </cell>
          <cell r="I21">
            <v>1.8665129044538736E-2</v>
          </cell>
          <cell r="J21">
            <v>4.8691347744958422E-3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3.3627510956865649E-2</v>
          </cell>
          <cell r="I22">
            <v>1.8665129044538736E-2</v>
          </cell>
          <cell r="J22">
            <v>4.8691347744958422E-3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2.0345854207082701E-3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3.4189892801241668E-3</v>
          </cell>
          <cell r="I24">
            <v>1.947359142636009E-3</v>
          </cell>
          <cell r="J24">
            <v>5.0789834854811258E-4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57.23858059723996</v>
          </cell>
          <cell r="I25">
            <v>70.577917421717146</v>
          </cell>
          <cell r="J25">
            <v>77.18046946665423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1.8173846640926399E-4</v>
          </cell>
          <cell r="I26">
            <v>4.4715369412615398E-2</v>
          </cell>
          <cell r="J26">
            <v>4.4553198261780898E-2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12.657889682789191</v>
          </cell>
          <cell r="I27">
            <v>22.845652291382709</v>
          </cell>
          <cell r="J27">
            <v>23.88460615921505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5.5459813781341641E-2</v>
          </cell>
          <cell r="I28">
            <v>1.0948903197425581</v>
          </cell>
          <cell r="J28">
            <v>1.5413566054683578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1.2069498047201994</v>
          </cell>
          <cell r="I29">
            <v>14.030501811015998</v>
          </cell>
          <cell r="J29">
            <v>17.300370145538764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43.318492922018009</v>
          </cell>
          <cell r="I30">
            <v>32.651627080112732</v>
          </cell>
          <cell r="J30">
            <v>34.498720601753703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9.6645553153939314</v>
          </cell>
          <cell r="I31">
            <v>5.6746235168633801</v>
          </cell>
          <cell r="J31">
            <v>1.4433863247147829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9.6645553153939314</v>
          </cell>
          <cell r="I32">
            <v>5.6746235168633801</v>
          </cell>
          <cell r="J32">
            <v>1.4433863247147829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0.39777983791945498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0.66459146953895454</v>
          </cell>
          <cell r="I34">
            <v>0.46066178772988542</v>
          </cell>
          <cell r="J34">
            <v>9.9300284968602576E-2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7.692119976868108E-3</v>
          </cell>
          <cell r="I35">
            <v>4.5244214858762071E-3</v>
          </cell>
          <cell r="J35">
            <v>7.1609902218637881E-4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7.692119976868108E-3</v>
          </cell>
          <cell r="I36">
            <v>4.5244214858762071E-3</v>
          </cell>
          <cell r="J36">
            <v>7.1609902218637881E-4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4.2844966299521398E-4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1.1495343100258756E-3</v>
          </cell>
          <cell r="I38">
            <v>6.7920212640407705E-4</v>
          </cell>
          <cell r="J38">
            <v>1.0694266577224798E-4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4.4480452372962193E-2</v>
          </cell>
          <cell r="I39">
            <v>1.192771308436014E-2</v>
          </cell>
          <cell r="J39">
            <v>2.6889103481462142E-3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4.4480452372962193E-2</v>
          </cell>
          <cell r="I40">
            <v>1.192771308436014E-2</v>
          </cell>
          <cell r="J40">
            <v>2.6889103481462142E-3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1.12743784078174E-3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3.8346327921473721E-3</v>
          </cell>
          <cell r="I42">
            <v>1.2993807346427595E-3</v>
          </cell>
          <cell r="J42">
            <v>2.8144265148551459E-4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2.7721042808791289E-2</v>
          </cell>
          <cell r="I43">
            <v>2.0883190853649168E-2</v>
          </cell>
          <cell r="J43">
            <v>5.4193365924772715E-3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2.7721042808791289E-2</v>
          </cell>
          <cell r="I44">
            <v>2.0883190853649168E-2</v>
          </cell>
          <cell r="J44">
            <v>5.4193365924772715E-3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2.2688433384771599E-3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2.8249602561258428E-3</v>
          </cell>
          <cell r="I46">
            <v>2.1812057938175597E-3</v>
          </cell>
          <cell r="J46">
            <v>5.6637743037028017E-4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0.2385028801229401</v>
          </cell>
          <cell r="I47">
            <v>0.25112031580874961</v>
          </cell>
          <cell r="J47">
            <v>0.26974761711140088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9.4440196589962646</v>
          </cell>
          <cell r="I48">
            <v>9.9508281324067713</v>
          </cell>
          <cell r="J48">
            <v>10.704439194332391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1.9683955470779299E-4</v>
          </cell>
          <cell r="I49">
            <v>1.3555488582003199E-4</v>
          </cell>
          <cell r="J49">
            <v>1.28302490851089E-3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2.5609265920421677E-3</v>
          </cell>
          <cell r="I50">
            <v>2.6964814778622E-3</v>
          </cell>
          <cell r="J50">
            <v>2.8964718117219903E-3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7.6684784451979411</v>
          </cell>
          <cell r="I51">
            <v>4.0677370316384716</v>
          </cell>
          <cell r="J51">
            <v>1.0041232225387084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7.6684784451979411</v>
          </cell>
          <cell r="I52">
            <v>4.0677370316384716</v>
          </cell>
          <cell r="J52">
            <v>1.0041232225387084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0.32992340636908701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0.52732282161924282</v>
          </cell>
          <cell r="I54">
            <v>0.36770233658617574</v>
          </cell>
          <cell r="J54">
            <v>8.2360855496344559E-2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2.8673608245764291E-2</v>
          </cell>
          <cell r="I55">
            <v>1.3210286476347234E-2</v>
          </cell>
          <cell r="J55">
            <v>2.8975422841088991E-3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2.8673608245764291E-2</v>
          </cell>
          <cell r="I56">
            <v>1.3210286476347234E-2</v>
          </cell>
          <cell r="J56">
            <v>2.8975422841088991E-3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1.2390777286654701E-3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2.4334498075001499E-3</v>
          </cell>
          <cell r="I58">
            <v>1.4439326818383971E-3</v>
          </cell>
          <cell r="J58">
            <v>3.093118285587541E-4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H59">
            <v>1.8177623271677515E-6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H60">
            <v>7.3718676649588279E-6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H61">
            <v>3.7919025856858002E-8</v>
          </cell>
          <cell r="I61">
            <v>2.3629636931920201E-8</v>
          </cell>
          <cell r="J61">
            <v>2.53664299967445E-8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6.21974165810673E-8</v>
          </cell>
          <cell r="I62">
            <v>4.5194896189796898E-8</v>
          </cell>
          <cell r="J62">
            <v>4.3871176056662599E-8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5.5238199225696597E-3</v>
          </cell>
          <cell r="I63">
            <v>2.8509397358778246E-3</v>
          </cell>
          <cell r="J63">
            <v>3.5080462952683097E-4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0.57119788776166203</v>
          </cell>
          <cell r="I64">
            <v>0.2816887644595964</v>
          </cell>
          <cell r="J64">
            <v>3.3257234147752598E-2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7.739808777258282E-3</v>
          </cell>
          <cell r="I65">
            <v>3.8169209276368056E-3</v>
          </cell>
          <cell r="J65">
            <v>4.5064002910233874E-4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J68">
            <v>1.20832641697621E-8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H69">
            <v>-3.2515981882179926E-10</v>
          </cell>
          <cell r="I69">
            <v>-2.239116527899396E-10</v>
          </cell>
          <cell r="J69">
            <v>1.20832641697621E-8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H70">
            <v>2.9875708769437512</v>
          </cell>
          <cell r="I70">
            <v>1.3402149532364851</v>
          </cell>
          <cell r="J70">
            <v>0.23578341493026031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H71">
            <v>2.3723099607644224E-2</v>
          </cell>
          <cell r="I71">
            <v>1.1233887720228673E-2</v>
          </cell>
          <cell r="J71">
            <v>2.0736014721224362E-3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H72">
            <v>4.0481990202489791E-2</v>
          </cell>
          <cell r="I72">
            <v>1.816009421729653E-2</v>
          </cell>
          <cell r="J72">
            <v>3.194897221277236E-3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H73">
            <v>5.9499833716126006E-7</v>
          </cell>
          <cell r="J73">
            <v>2.1991999608744433E-6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H74">
            <v>5.1608821381117688E-6</v>
          </cell>
          <cell r="J74">
            <v>1.5334472320274772E-5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H76">
            <v>9.1652504935748003E-9</v>
          </cell>
          <cell r="J76">
            <v>-1.2861196509818401E-8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H77">
            <v>8.1117468524545943E-3</v>
          </cell>
          <cell r="I77">
            <v>6.3022425361938129E-3</v>
          </cell>
          <cell r="J77">
            <v>1.332136010524967E-3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H78">
            <v>8.1117468524545943E-3</v>
          </cell>
          <cell r="I78">
            <v>6.3022425361938129E-3</v>
          </cell>
          <cell r="J78">
            <v>1.332136010524967E-3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H79">
            <v>8.1152941127837445E-3</v>
          </cell>
          <cell r="I79">
            <v>6.3067488298771115E-3</v>
          </cell>
          <cell r="J79">
            <v>1.3333636392560285E-3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H80">
            <v>8.1152941127837445E-3</v>
          </cell>
          <cell r="I80">
            <v>6.3067488298771115E-3</v>
          </cell>
          <cell r="J80">
            <v>1.3333636392560285E-3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H81">
            <v>3.7723124786337402E-2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H82">
            <v>0.12347803547054619</v>
          </cell>
          <cell r="I82">
            <v>8.6876792358340296E-2</v>
          </cell>
          <cell r="J82">
            <v>1.5934016321614917E-2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H83">
            <v>830.02179324676297</v>
          </cell>
          <cell r="I83">
            <v>377.0614321999297</v>
          </cell>
          <cell r="J83">
            <v>59.023366793221825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H84">
            <v>6.135599129472749</v>
          </cell>
          <cell r="I84">
            <v>2.9535665088359777</v>
          </cell>
          <cell r="J84">
            <v>0.48835179875408502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H85">
            <v>11.246907767571319</v>
          </cell>
          <cell r="I85">
            <v>5.109233498644036</v>
          </cell>
          <cell r="J85">
            <v>0.79977461779433523</v>
          </cell>
        </row>
        <row r="86">
          <cell r="A86" t="str">
            <v>T_B_u-FCLH2O-S4</v>
          </cell>
          <cell r="B86" t="str">
            <v>VAR_ncap</v>
          </cell>
          <cell r="C86" t="str">
            <v>-</v>
          </cell>
        </row>
        <row r="87">
          <cell r="A87" t="str">
            <v>T_B_u-FCLH2O-S4</v>
          </cell>
          <cell r="B87" t="str">
            <v>VAR_cap</v>
          </cell>
          <cell r="C87" t="str">
            <v>-</v>
          </cell>
          <cell r="H87">
            <v>3.3762175746190902E-9</v>
          </cell>
          <cell r="I87">
            <v>-8.5490850502485305E-9</v>
          </cell>
          <cell r="J87">
            <v>-4.2447885309633999E-9</v>
          </cell>
        </row>
        <row r="88">
          <cell r="A88" t="str">
            <v>T-PHEV-STG_S2</v>
          </cell>
          <cell r="B88" t="str">
            <v>VAR_fout</v>
          </cell>
          <cell r="C88" t="str">
            <v>T-ELC-car-PlgSTGAUXout_S2</v>
          </cell>
          <cell r="H88">
            <v>1.2444104590289355E-2</v>
          </cell>
          <cell r="I88">
            <v>1.0641461918727656E-2</v>
          </cell>
          <cell r="J88">
            <v>6.0215121705823943E-3</v>
          </cell>
        </row>
        <row r="89">
          <cell r="A89" t="str">
            <v>T-PHEV-STG_S2</v>
          </cell>
          <cell r="B89" t="str">
            <v>VAR_fout</v>
          </cell>
          <cell r="C89" t="str">
            <v>T-ELC-car-PlgSTGOut_S2</v>
          </cell>
          <cell r="H89">
            <v>1.2444104590289355E-2</v>
          </cell>
          <cell r="I89">
            <v>1.0641461918727656E-2</v>
          </cell>
          <cell r="J89">
            <v>6.0215121705823943E-3</v>
          </cell>
        </row>
        <row r="90">
          <cell r="A90" t="str">
            <v>T-PHEV-STG_S2</v>
          </cell>
          <cell r="B90" t="str">
            <v>VAR_fin</v>
          </cell>
          <cell r="C90" t="str">
            <v>T-ELC-car-PlgSTGAUXin_S2</v>
          </cell>
          <cell r="H90">
            <v>1.2457296344931977E-2</v>
          </cell>
          <cell r="I90">
            <v>1.0651919786857951E-2</v>
          </cell>
          <cell r="J90">
            <v>6.0302767955001816E-3</v>
          </cell>
        </row>
        <row r="91">
          <cell r="A91" t="str">
            <v>T-PHEV-STG_S2</v>
          </cell>
          <cell r="B91" t="str">
            <v>VAR_fin</v>
          </cell>
          <cell r="C91" t="str">
            <v>T-ELC-car-PlgSTGin_S2</v>
          </cell>
          <cell r="H91">
            <v>1.2457296344931977E-2</v>
          </cell>
          <cell r="I91">
            <v>1.0651919786857951E-2</v>
          </cell>
          <cell r="J91">
            <v>6.0302767955001816E-3</v>
          </cell>
        </row>
        <row r="92">
          <cell r="A92" t="str">
            <v>T-PHEV-STG_S2</v>
          </cell>
          <cell r="B92" t="str">
            <v>VAR_ncap</v>
          </cell>
          <cell r="C92" t="str">
            <v>-</v>
          </cell>
          <cell r="H92">
            <v>7.0827531855194498E-2</v>
          </cell>
          <cell r="I92">
            <v>4.1823391746517502E-2</v>
          </cell>
          <cell r="J92">
            <v>1.86614321761428E-2</v>
          </cell>
        </row>
        <row r="93">
          <cell r="A93" t="str">
            <v>T-PHEV-STG_S2</v>
          </cell>
          <cell r="B93" t="str">
            <v>VAR_cap</v>
          </cell>
          <cell r="C93" t="str">
            <v>-</v>
          </cell>
          <cell r="H93">
            <v>0.25309199778233288</v>
          </cell>
          <cell r="I93">
            <v>0.17730488728722973</v>
          </cell>
          <cell r="J93">
            <v>7.8902750038957775E-2</v>
          </cell>
        </row>
        <row r="94">
          <cell r="A94" t="str">
            <v>T-Plg-GSL-mix_S4</v>
          </cell>
          <cell r="B94" t="str">
            <v>VAR_fout</v>
          </cell>
          <cell r="C94" t="str">
            <v>CO2_T</v>
          </cell>
          <cell r="H94">
            <v>4.1525418701602055</v>
          </cell>
          <cell r="I94">
            <v>0.88393058162795901</v>
          </cell>
          <cell r="J94">
            <v>0.13000495662019979</v>
          </cell>
        </row>
        <row r="95">
          <cell r="A95" t="str">
            <v>T-Plg-GSL-mix_S4</v>
          </cell>
          <cell r="B95" t="str">
            <v>VAR_fout</v>
          </cell>
          <cell r="C95" t="str">
            <v>T-PEVmix-ELC_GSL_S4</v>
          </cell>
          <cell r="H95">
            <v>2.9245355597869473E-2</v>
          </cell>
          <cell r="I95">
            <v>6.5429813008879576E-3</v>
          </cell>
          <cell r="J95">
            <v>1.004025173627079E-3</v>
          </cell>
        </row>
        <row r="96">
          <cell r="A96" t="str">
            <v>T-Plg-GSL-mix_S4</v>
          </cell>
          <cell r="B96" t="str">
            <v>VAR_fin</v>
          </cell>
          <cell r="C96" t="str">
            <v>TGSL</v>
          </cell>
          <cell r="H96">
            <v>5.6267505015720996E-2</v>
          </cell>
          <cell r="I96">
            <v>1.1977379154850403E-2</v>
          </cell>
          <cell r="J96">
            <v>1.7615847780514881E-3</v>
          </cell>
        </row>
        <row r="97">
          <cell r="A97" t="str">
            <v>T-PHEV-STG_S3</v>
          </cell>
          <cell r="B97" t="str">
            <v>VAR_fout</v>
          </cell>
          <cell r="C97" t="str">
            <v>T-ELC-car-PlgSTGAUXout_S3</v>
          </cell>
          <cell r="H97">
            <v>4.3264595704715392</v>
          </cell>
          <cell r="I97">
            <v>3.2974945554106201</v>
          </cell>
          <cell r="J97">
            <v>1.3935977986294201</v>
          </cell>
        </row>
        <row r="98">
          <cell r="A98" t="str">
            <v>T-PHEV-STG_S3</v>
          </cell>
          <cell r="B98" t="str">
            <v>VAR_fout</v>
          </cell>
          <cell r="C98" t="str">
            <v>T-ELC-car-PlgSTGOut_S3</v>
          </cell>
          <cell r="H98">
            <v>4.3264595704715392</v>
          </cell>
          <cell r="I98">
            <v>3.2974945554106192</v>
          </cell>
          <cell r="J98">
            <v>1.3935977986294201</v>
          </cell>
        </row>
        <row r="99">
          <cell r="A99" t="str">
            <v>T-PHEV-STG_S3</v>
          </cell>
          <cell r="B99" t="str">
            <v>VAR_fin</v>
          </cell>
          <cell r="C99" t="str">
            <v>T-ELC-car-PlgSTGAUXin_S3</v>
          </cell>
          <cell r="H99">
            <v>4.3268982789066008</v>
          </cell>
          <cell r="I99">
            <v>3.2978280314446349</v>
          </cell>
          <cell r="J99">
            <v>1.3937385403491849</v>
          </cell>
        </row>
        <row r="100">
          <cell r="A100" t="str">
            <v>T-PHEV-STG_S3</v>
          </cell>
          <cell r="B100" t="str">
            <v>VAR_fin</v>
          </cell>
          <cell r="C100" t="str">
            <v>T-ELC-car-PlgSTGin_S3</v>
          </cell>
          <cell r="H100">
            <v>4.3268982789066008</v>
          </cell>
          <cell r="I100">
            <v>3.2978280314446349</v>
          </cell>
          <cell r="J100">
            <v>1.3937385403491849</v>
          </cell>
        </row>
        <row r="101">
          <cell r="A101" t="str">
            <v>T-PHEV-STG_S3</v>
          </cell>
          <cell r="B101" t="str">
            <v>VAR_ncap</v>
          </cell>
          <cell r="C101" t="str">
            <v>-</v>
          </cell>
          <cell r="H101">
            <v>60.952922614965402</v>
          </cell>
        </row>
        <row r="102">
          <cell r="A102" t="str">
            <v>T-PHEV-STG_S3</v>
          </cell>
          <cell r="B102" t="str">
            <v>VAR_cap</v>
          </cell>
          <cell r="C102" t="str">
            <v>-</v>
          </cell>
          <cell r="H102">
            <v>116.01548012781095</v>
          </cell>
          <cell r="I102">
            <v>85.6691344229246</v>
          </cell>
          <cell r="J102">
            <v>22.70217519914382</v>
          </cell>
        </row>
        <row r="103">
          <cell r="A103" t="str">
            <v>TFLGV-HYBDSL</v>
          </cell>
          <cell r="B103" t="str">
            <v>VAR_fout</v>
          </cell>
          <cell r="C103" t="str">
            <v>CO2_T</v>
          </cell>
          <cell r="H103">
            <v>82.182339598583098</v>
          </cell>
          <cell r="I103">
            <v>7.2668348781753602</v>
          </cell>
        </row>
        <row r="104">
          <cell r="A104" t="str">
            <v>TFLGV-HYBDSL</v>
          </cell>
          <cell r="B104" t="str">
            <v>VAR_fout</v>
          </cell>
          <cell r="C104" t="str">
            <v>TFLGV</v>
          </cell>
          <cell r="H104">
            <v>0.51660243894811597</v>
          </cell>
          <cell r="I104">
            <v>4.5679700040607611E-2</v>
          </cell>
        </row>
        <row r="105">
          <cell r="A105" t="str">
            <v>TFLGV-HYBDSL</v>
          </cell>
          <cell r="B105" t="str">
            <v>VAR_fin</v>
          </cell>
          <cell r="C105" t="str">
            <v>TDSL</v>
          </cell>
          <cell r="H105">
            <v>1.1211778935686638</v>
          </cell>
          <cell r="I105">
            <v>9.9138265732269443E-2</v>
          </cell>
        </row>
        <row r="106">
          <cell r="A106" t="str">
            <v>TFLGV-HYBDSL</v>
          </cell>
          <cell r="B106" t="str">
            <v>VAR_ncap</v>
          </cell>
          <cell r="C106" t="str">
            <v>-</v>
          </cell>
        </row>
        <row r="107">
          <cell r="A107" t="str">
            <v>TFLGV-HYBDSL</v>
          </cell>
          <cell r="B107" t="str">
            <v>VAR_cap</v>
          </cell>
          <cell r="C107" t="str">
            <v>-</v>
          </cell>
          <cell r="H107">
            <v>5.0177824781035128E-2</v>
          </cell>
          <cell r="I107">
            <v>4.5406495118358392E-3</v>
          </cell>
        </row>
        <row r="108">
          <cell r="A108" t="str">
            <v>TFHGV-FCLH2O</v>
          </cell>
          <cell r="B108" t="str">
            <v>VAR_fout</v>
          </cell>
          <cell r="C108" t="str">
            <v>TFHGV</v>
          </cell>
          <cell r="H108">
            <v>1.0328368108528234E-4</v>
          </cell>
          <cell r="I108">
            <v>1.0387561730954287E-4</v>
          </cell>
          <cell r="J108">
            <v>9.494985104132319E-5</v>
          </cell>
        </row>
        <row r="109">
          <cell r="A109" t="str">
            <v>TFHGV-FCLH2O</v>
          </cell>
          <cell r="B109" t="str">
            <v>VAR_fin</v>
          </cell>
          <cell r="C109" t="str">
            <v>TH2O</v>
          </cell>
          <cell r="H109">
            <v>5.3199578731260579E-4</v>
          </cell>
          <cell r="I109">
            <v>5.2331371310815463E-4</v>
          </cell>
          <cell r="J109">
            <v>4.3652973142563448E-4</v>
          </cell>
        </row>
        <row r="110">
          <cell r="A110" t="str">
            <v>TFHGV-FCLH2O</v>
          </cell>
          <cell r="B110" t="str">
            <v>VAR_ncap</v>
          </cell>
          <cell r="C110" t="str">
            <v>-</v>
          </cell>
          <cell r="H110">
            <v>2.0314681072362002E-6</v>
          </cell>
          <cell r="I110">
            <v>9.2523715846608904E-7</v>
          </cell>
          <cell r="J110">
            <v>1.8635899774840899E-6</v>
          </cell>
        </row>
        <row r="111">
          <cell r="A111" t="str">
            <v>TFHGV-FCLH2O</v>
          </cell>
          <cell r="B111" t="str">
            <v>VAR_cap</v>
          </cell>
          <cell r="C111" t="str">
            <v>-</v>
          </cell>
          <cell r="H111">
            <v>2.1940975992472199E-6</v>
          </cell>
          <cell r="I111">
            <v>2.1131069313815972E-6</v>
          </cell>
          <cell r="J111">
            <v>2.02595858469909E-6</v>
          </cell>
        </row>
        <row r="112">
          <cell r="A112" t="str">
            <v>T-PHEV-STG_S4</v>
          </cell>
          <cell r="B112" t="str">
            <v>VAR_fout</v>
          </cell>
          <cell r="C112" t="str">
            <v>T-ELC-car-PlgSTGAUXout_S4</v>
          </cell>
          <cell r="H112">
            <v>2.2893813850015838E-2</v>
          </cell>
          <cell r="I112">
            <v>1.7574676089410775E-2</v>
          </cell>
          <cell r="J112">
            <v>5.3568894549364679E-3</v>
          </cell>
        </row>
        <row r="113">
          <cell r="A113" t="str">
            <v>T-PHEV-STG_S4</v>
          </cell>
          <cell r="B113" t="str">
            <v>VAR_fout</v>
          </cell>
          <cell r="C113" t="str">
            <v>T-ELC-car-PlgSTGOut_S4</v>
          </cell>
          <cell r="H113">
            <v>2.2893813850015838E-2</v>
          </cell>
          <cell r="I113">
            <v>1.7574676089410768E-2</v>
          </cell>
          <cell r="J113">
            <v>5.3568894549364671E-3</v>
          </cell>
        </row>
        <row r="114">
          <cell r="A114" t="str">
            <v>T-PHEV-STG_S4</v>
          </cell>
          <cell r="B114" t="str">
            <v>VAR_fin</v>
          </cell>
          <cell r="C114" t="str">
            <v>T-ELC-car-PlgSTGAUXin_S4</v>
          </cell>
          <cell r="H114">
            <v>2.2902122670301516E-2</v>
          </cell>
          <cell r="I114">
            <v>1.7580218539033885E-2</v>
          </cell>
          <cell r="J114">
            <v>5.358747599640154E-3</v>
          </cell>
        </row>
        <row r="115">
          <cell r="A115" t="str">
            <v>T-PHEV-STG_S4</v>
          </cell>
          <cell r="B115" t="str">
            <v>VAR_fin</v>
          </cell>
          <cell r="C115" t="str">
            <v>T-ELC-car-PlgSTGin_S4</v>
          </cell>
          <cell r="H115">
            <v>2.2902122670301516E-2</v>
          </cell>
          <cell r="I115">
            <v>1.7580218539033885E-2</v>
          </cell>
          <cell r="J115">
            <v>5.358747599640154E-3</v>
          </cell>
        </row>
        <row r="116">
          <cell r="A116" t="str">
            <v>T-PHEV-STG_S4</v>
          </cell>
          <cell r="B116" t="str">
            <v>VAR_ncap</v>
          </cell>
          <cell r="C116" t="str">
            <v>-</v>
          </cell>
          <cell r="H116">
            <v>0.199735940866406</v>
          </cell>
        </row>
        <row r="117">
          <cell r="A117" t="str">
            <v>T-PHEV-STG_S4</v>
          </cell>
          <cell r="B117" t="str">
            <v>VAR_cap</v>
          </cell>
          <cell r="C117" t="str">
            <v>-</v>
          </cell>
          <cell r="H117">
            <v>0.46097544513679761</v>
          </cell>
          <cell r="I117">
            <v>0.31370403212924858</v>
          </cell>
          <cell r="J117">
            <v>8.434009201819942E-2</v>
          </cell>
        </row>
        <row r="118">
          <cell r="A118" t="str">
            <v>TFLGV-ICEGSLExt</v>
          </cell>
          <cell r="B118" t="str">
            <v>VAR_fout</v>
          </cell>
          <cell r="C118" t="str">
            <v>CO2_T</v>
          </cell>
        </row>
        <row r="119">
          <cell r="A119" t="str">
            <v>TFLGV-ICEGSLExt</v>
          </cell>
          <cell r="B119" t="str">
            <v>VAR_fout</v>
          </cell>
          <cell r="C119" t="str">
            <v>TFLGV</v>
          </cell>
        </row>
        <row r="120">
          <cell r="A120" t="str">
            <v>TFLGV-ICEGSLExt</v>
          </cell>
          <cell r="B120" t="str">
            <v>VAR_fin</v>
          </cell>
          <cell r="C120" t="str">
            <v>TGSL</v>
          </cell>
        </row>
        <row r="121">
          <cell r="A121" t="str">
            <v>TFLGV-ICEGSLExt</v>
          </cell>
          <cell r="B121" t="str">
            <v>VAR_cap</v>
          </cell>
          <cell r="C121" t="str">
            <v>-</v>
          </cell>
        </row>
        <row r="122">
          <cell r="A122" t="str">
            <v>TFRLFELCEXT</v>
          </cell>
          <cell r="B122" t="str">
            <v>VAR_fout</v>
          </cell>
          <cell r="C122" t="str">
            <v>TFRLF</v>
          </cell>
          <cell r="H122">
            <v>3.3097071399059083E-2</v>
          </cell>
          <cell r="I122">
            <v>3.387805770741268E-2</v>
          </cell>
          <cell r="J122">
            <v>3.6421167272335159E-2</v>
          </cell>
        </row>
        <row r="123">
          <cell r="A123" t="str">
            <v>TFRLFELCEXT</v>
          </cell>
          <cell r="B123" t="str">
            <v>VAR_fin</v>
          </cell>
          <cell r="C123" t="str">
            <v>TELC</v>
          </cell>
          <cell r="H123">
            <v>1.9813821575737698</v>
          </cell>
          <cell r="I123">
            <v>2.0281365159284235</v>
          </cell>
          <cell r="J123">
            <v>2.180381766148233</v>
          </cell>
        </row>
        <row r="124">
          <cell r="A124" t="str">
            <v>TFRLFELCEXT</v>
          </cell>
          <cell r="B124" t="str">
            <v>VAR_ncap</v>
          </cell>
          <cell r="C124" t="str">
            <v>-</v>
          </cell>
          <cell r="H124">
            <v>1.3426864240263301E-4</v>
          </cell>
          <cell r="I124">
            <v>7.20682180444465E-5</v>
          </cell>
          <cell r="J124">
            <v>1.4957004318992199E-3</v>
          </cell>
        </row>
        <row r="125">
          <cell r="A125" t="str">
            <v>TFRLFELCEXT</v>
          </cell>
          <cell r="B125" t="str">
            <v>VAR_cap</v>
          </cell>
          <cell r="C125" t="str">
            <v>-</v>
          </cell>
          <cell r="H125">
            <v>3.0555333700262258E-3</v>
          </cell>
          <cell r="I125">
            <v>3.1276015880706718E-3</v>
          </cell>
          <cell r="J125">
            <v>3.3623426563418202E-3</v>
          </cell>
        </row>
        <row r="126">
          <cell r="A126" t="str">
            <v>TFLGV-ICEDSLExt</v>
          </cell>
          <cell r="B126" t="str">
            <v>VAR_fout</v>
          </cell>
          <cell r="C126" t="str">
            <v>CO2_T</v>
          </cell>
        </row>
        <row r="127">
          <cell r="A127" t="str">
            <v>TFLGV-ICEDSLExt</v>
          </cell>
          <cell r="B127" t="str">
            <v>VAR_fout</v>
          </cell>
          <cell r="C127" t="str">
            <v>TFLGV</v>
          </cell>
        </row>
        <row r="128">
          <cell r="A128" t="str">
            <v>TFLGV-ICEDSLExt</v>
          </cell>
          <cell r="B128" t="str">
            <v>VAR_fin</v>
          </cell>
          <cell r="C128" t="str">
            <v>TDSL</v>
          </cell>
        </row>
        <row r="129">
          <cell r="A129" t="str">
            <v>TFLGV-ICEDSLExt</v>
          </cell>
          <cell r="B129" t="str">
            <v>VAR_cap</v>
          </cell>
          <cell r="C129" t="str">
            <v>-</v>
          </cell>
        </row>
        <row r="130">
          <cell r="A130" t="str">
            <v>T_C-ICE-NGA-S1</v>
          </cell>
          <cell r="B130" t="str">
            <v>VAR_fout</v>
          </cell>
          <cell r="C130" t="str">
            <v>CO2_T</v>
          </cell>
          <cell r="H130">
            <v>4.5637224307792927E-2</v>
          </cell>
          <cell r="I130">
            <v>1.6505749606772951E-2</v>
          </cell>
        </row>
        <row r="131">
          <cell r="A131" t="str">
            <v>T_C-ICE-NGA-S1</v>
          </cell>
          <cell r="B131" t="str">
            <v>VAR_fout</v>
          </cell>
          <cell r="C131" t="str">
            <v>TPCAR</v>
          </cell>
          <cell r="H131">
            <v>4.5451838135410677E-4</v>
          </cell>
          <cell r="I131">
            <v>1.6352104792265767E-4</v>
          </cell>
        </row>
        <row r="132">
          <cell r="A132" t="str">
            <v>T_C-ICE-NGA-S1</v>
          </cell>
          <cell r="B132" t="str">
            <v>VAR_fin</v>
          </cell>
          <cell r="C132" t="str">
            <v>TNGA</v>
          </cell>
          <cell r="H132">
            <v>8.0917064375519347E-4</v>
          </cell>
          <cell r="I132">
            <v>2.9265513487186114E-4</v>
          </cell>
        </row>
        <row r="133">
          <cell r="A133" t="str">
            <v>T_C-ICE-NGA-S1</v>
          </cell>
          <cell r="B133" t="str">
            <v>VAR_ncap</v>
          </cell>
          <cell r="C133" t="str">
            <v>-</v>
          </cell>
        </row>
        <row r="134">
          <cell r="A134" t="str">
            <v>T_C-ICE-NGA-S1</v>
          </cell>
          <cell r="B134" t="str">
            <v>VAR_cap</v>
          </cell>
          <cell r="C134" t="str">
            <v>-</v>
          </cell>
          <cell r="H134">
            <v>6.2795922369025082E-5</v>
          </cell>
          <cell r="I134">
            <v>2.2934313021378936E-5</v>
          </cell>
        </row>
        <row r="135">
          <cell r="A135" t="str">
            <v>D-T-ELC-car</v>
          </cell>
          <cell r="B135" t="str">
            <v>VAR_fout</v>
          </cell>
          <cell r="C135" t="str">
            <v>T-ELC-car</v>
          </cell>
          <cell r="H135">
            <v>33.726302963043146</v>
          </cell>
          <cell r="I135">
            <v>40.931090357090291</v>
          </cell>
          <cell r="J135">
            <v>39.646083588096275</v>
          </cell>
        </row>
        <row r="136">
          <cell r="A136" t="str">
            <v>D-T-ELC-car</v>
          </cell>
          <cell r="B136" t="str">
            <v>VAR_fin</v>
          </cell>
          <cell r="C136" t="str">
            <v>TELC</v>
          </cell>
          <cell r="H136">
            <v>33.726302963043146</v>
          </cell>
          <cell r="I136">
            <v>40.931090357090291</v>
          </cell>
          <cell r="J136">
            <v>39.646083588096275</v>
          </cell>
        </row>
        <row r="137">
          <cell r="A137" t="str">
            <v>D-T-ELC-car</v>
          </cell>
          <cell r="B137" t="str">
            <v>VAR_ncap</v>
          </cell>
          <cell r="C137" t="str">
            <v>-</v>
          </cell>
          <cell r="H137">
            <v>14.899403114226001</v>
          </cell>
          <cell r="I137">
            <v>13.1319228267366</v>
          </cell>
          <cell r="J137">
            <v>26.534880647111201</v>
          </cell>
        </row>
        <row r="138">
          <cell r="A138" t="str">
            <v>D-T-ELC-car</v>
          </cell>
          <cell r="B138" t="str">
            <v>VAR_cap</v>
          </cell>
          <cell r="C138" t="str">
            <v>-</v>
          </cell>
          <cell r="H138">
            <v>25.458897796890607</v>
          </cell>
          <cell r="I138">
            <v>34.500308748903102</v>
          </cell>
          <cell r="J138">
            <v>42.3675251009495</v>
          </cell>
        </row>
        <row r="139">
          <cell r="A139" t="str">
            <v>T_C-ICE-NGA-S2</v>
          </cell>
          <cell r="B139" t="str">
            <v>VAR_fout</v>
          </cell>
          <cell r="C139" t="str">
            <v>CO2_T</v>
          </cell>
          <cell r="H139">
            <v>0.1684277591606447</v>
          </cell>
          <cell r="I139">
            <v>1.7049252172010691E-2</v>
          </cell>
        </row>
        <row r="140">
          <cell r="A140" t="str">
            <v>T_C-ICE-NGA-S2</v>
          </cell>
          <cell r="B140" t="str">
            <v>VAR_fout</v>
          </cell>
          <cell r="C140" t="str">
            <v>TPCAR</v>
          </cell>
          <cell r="H140">
            <v>1.5765248226132975E-3</v>
          </cell>
          <cell r="I140">
            <v>1.3538930158674134E-4</v>
          </cell>
        </row>
        <row r="141">
          <cell r="A141" t="str">
            <v>T_C-ICE-NGA-S2</v>
          </cell>
          <cell r="B141" t="str">
            <v>VAR_fin</v>
          </cell>
          <cell r="C141" t="str">
            <v>TNGA</v>
          </cell>
          <cell r="H141">
            <v>2.986307786536259E-3</v>
          </cell>
          <cell r="I141">
            <v>3.0229170517749528E-4</v>
          </cell>
        </row>
        <row r="142">
          <cell r="A142" t="str">
            <v>T_C-ICE-NGA-S2</v>
          </cell>
          <cell r="B142" t="str">
            <v>VAR_ncap</v>
          </cell>
          <cell r="C142" t="str">
            <v>-</v>
          </cell>
        </row>
        <row r="143">
          <cell r="A143" t="str">
            <v>T_C-ICE-NGA-S2</v>
          </cell>
          <cell r="B143" t="str">
            <v>VAR_cap</v>
          </cell>
          <cell r="C143" t="str">
            <v>-</v>
          </cell>
          <cell r="H143">
            <v>1.3567549718044379E-4</v>
          </cell>
          <cell r="I143">
            <v>1.210412926577714E-5</v>
          </cell>
        </row>
        <row r="144">
          <cell r="A144" t="str">
            <v>TFLGV-ICEDSL</v>
          </cell>
          <cell r="B144" t="str">
            <v>VAR_fout</v>
          </cell>
          <cell r="C144" t="str">
            <v>CO2_T</v>
          </cell>
          <cell r="H144">
            <v>0.62530927405741599</v>
          </cell>
          <cell r="I144">
            <v>6.0725297483042603E-2</v>
          </cell>
        </row>
        <row r="145">
          <cell r="A145" t="str">
            <v>TFLGV-ICEDSL</v>
          </cell>
          <cell r="B145" t="str">
            <v>VAR_fout</v>
          </cell>
          <cell r="C145" t="str">
            <v>TFLGV</v>
          </cell>
          <cell r="H145">
            <v>2.9185181178496221E-3</v>
          </cell>
          <cell r="I145">
            <v>2.8342436018275786E-4</v>
          </cell>
        </row>
        <row r="146">
          <cell r="A146" t="str">
            <v>TFLGV-ICEDSL</v>
          </cell>
          <cell r="B146" t="str">
            <v>VAR_fin</v>
          </cell>
          <cell r="C146" t="str">
            <v>TDSL</v>
          </cell>
          <cell r="H146">
            <v>8.5308222927341724E-3</v>
          </cell>
          <cell r="I146">
            <v>8.2844880604423686E-4</v>
          </cell>
        </row>
        <row r="147">
          <cell r="A147" t="str">
            <v>TFLGV-ICEDSL</v>
          </cell>
          <cell r="B147" t="str">
            <v>VAR_ncap</v>
          </cell>
          <cell r="C147" t="str">
            <v>-</v>
          </cell>
        </row>
        <row r="148">
          <cell r="A148" t="str">
            <v>TFLGV-ICEDSL</v>
          </cell>
          <cell r="B148" t="str">
            <v>VAR_cap</v>
          </cell>
          <cell r="C148" t="str">
            <v>-</v>
          </cell>
          <cell r="H148">
            <v>2.628847439421252E-4</v>
          </cell>
          <cell r="I148">
            <v>2.6087119118358673E-5</v>
          </cell>
        </row>
        <row r="149">
          <cell r="A149" t="str">
            <v>T_C-ICE-NGA-S3</v>
          </cell>
          <cell r="B149" t="str">
            <v>VAR_fout</v>
          </cell>
          <cell r="C149" t="str">
            <v>CO2_T</v>
          </cell>
          <cell r="H149">
            <v>0.13324619001896271</v>
          </cell>
          <cell r="I149">
            <v>2.8738345730398782E-2</v>
          </cell>
        </row>
        <row r="150">
          <cell r="A150" t="str">
            <v>T_C-ICE-NGA-S3</v>
          </cell>
          <cell r="B150" t="str">
            <v>VAR_fout</v>
          </cell>
          <cell r="C150" t="str">
            <v>TPCAR</v>
          </cell>
          <cell r="H150">
            <v>1.129780083637059E-3</v>
          </cell>
          <cell r="I150">
            <v>2.3036733560922838E-4</v>
          </cell>
        </row>
        <row r="151">
          <cell r="A151" t="str">
            <v>T_C-ICE-NGA-S3</v>
          </cell>
          <cell r="B151" t="str">
            <v>VAR_fin</v>
          </cell>
          <cell r="C151" t="str">
            <v>TNGA</v>
          </cell>
          <cell r="H151">
            <v>2.3625210996270048E-3</v>
          </cell>
          <cell r="I151">
            <v>5.0954513706380933E-4</v>
          </cell>
        </row>
        <row r="152">
          <cell r="A152" t="str">
            <v>T_C-ICE-NGA-S3</v>
          </cell>
          <cell r="B152" t="str">
            <v>VAR_ncap</v>
          </cell>
          <cell r="C152" t="str">
            <v>-</v>
          </cell>
        </row>
        <row r="153">
          <cell r="A153" t="str">
            <v>T_C-ICE-NGA-S3</v>
          </cell>
          <cell r="B153" t="str">
            <v>VAR_cap</v>
          </cell>
          <cell r="C153" t="str">
            <v>-</v>
          </cell>
          <cell r="H153">
            <v>8.2762609404441546E-5</v>
          </cell>
          <cell r="I153">
            <v>1.8810194134831201E-5</v>
          </cell>
        </row>
        <row r="154">
          <cell r="A154" t="str">
            <v>T_C-ICE-NGA-S4</v>
          </cell>
          <cell r="B154" t="str">
            <v>VAR_fout</v>
          </cell>
          <cell r="C154" t="str">
            <v>CO2_T</v>
          </cell>
          <cell r="H154">
            <v>0.45785313303504255</v>
          </cell>
          <cell r="I154">
            <v>3.3653628185283842E-2</v>
          </cell>
        </row>
        <row r="155">
          <cell r="A155" t="str">
            <v>T_C-ICE-NGA-S4</v>
          </cell>
          <cell r="B155" t="str">
            <v>VAR_fout</v>
          </cell>
          <cell r="C155" t="str">
            <v>TPCAR</v>
          </cell>
          <cell r="H155">
            <v>4.9550694518133214E-3</v>
          </cell>
          <cell r="I155">
            <v>2.6029770969277611E-4</v>
          </cell>
        </row>
        <row r="156">
          <cell r="A156" t="str">
            <v>T_C-ICE-NGA-S4</v>
          </cell>
          <cell r="B156" t="str">
            <v>VAR_fin</v>
          </cell>
          <cell r="C156" t="str">
            <v>TNGA</v>
          </cell>
          <cell r="H156">
            <v>8.1179633516851573E-3</v>
          </cell>
          <cell r="I156">
            <v>5.9669553520006781E-4</v>
          </cell>
        </row>
        <row r="157">
          <cell r="A157" t="str">
            <v>T_C-ICE-NGA-S4</v>
          </cell>
          <cell r="B157" t="str">
            <v>VAR_ncap</v>
          </cell>
          <cell r="C157" t="str">
            <v>-</v>
          </cell>
        </row>
        <row r="158">
          <cell r="A158" t="str">
            <v>T_C-ICE-NGA-S4</v>
          </cell>
          <cell r="B158" t="str">
            <v>VAR_cap</v>
          </cell>
          <cell r="C158" t="str">
            <v>-</v>
          </cell>
          <cell r="H158">
            <v>4.1124082223239794E-4</v>
          </cell>
          <cell r="I158">
            <v>2.5386650333574075E-5</v>
          </cell>
        </row>
        <row r="159">
          <cell r="A159" t="str">
            <v>T_C-MHY-GSL-S1</v>
          </cell>
          <cell r="B159" t="str">
            <v>VAR_fout</v>
          </cell>
          <cell r="C159" t="str">
            <v>CO2_T</v>
          </cell>
          <cell r="H159">
            <v>9.5459861618830202E-2</v>
          </cell>
          <cell r="I159">
            <v>2.6763857262897088E-2</v>
          </cell>
        </row>
        <row r="160">
          <cell r="A160" t="str">
            <v>T_C-MHY-GSL-S1</v>
          </cell>
          <cell r="B160" t="str">
            <v>VAR_fout</v>
          </cell>
          <cell r="C160" t="str">
            <v>TPCAR</v>
          </cell>
          <cell r="H160">
            <v>7.4102407480671861E-4</v>
          </cell>
          <cell r="I160">
            <v>2.1659969160516619E-4</v>
          </cell>
        </row>
        <row r="161">
          <cell r="A161" t="str">
            <v>T_C-MHY-GSL-S1</v>
          </cell>
          <cell r="B161" t="str">
            <v>VAR_fin</v>
          </cell>
          <cell r="C161" t="str">
            <v>TGSL</v>
          </cell>
          <cell r="H161">
            <v>1.2934940598757474E-3</v>
          </cell>
          <cell r="I161">
            <v>3.6265389245118072E-4</v>
          </cell>
        </row>
        <row r="162">
          <cell r="A162" t="str">
            <v>T_C-MHY-GSL-S1</v>
          </cell>
          <cell r="B162" t="str">
            <v>VAR_ncap</v>
          </cell>
          <cell r="C162" t="str">
            <v>-</v>
          </cell>
        </row>
        <row r="163">
          <cell r="A163" t="str">
            <v>T_C-MHY-GSL-S1</v>
          </cell>
          <cell r="B163" t="str">
            <v>VAR_cap</v>
          </cell>
          <cell r="C163" t="str">
            <v>-</v>
          </cell>
          <cell r="H163">
            <v>1.04132398608231E-4</v>
          </cell>
          <cell r="I163">
            <v>3.0230757689570601E-5</v>
          </cell>
        </row>
        <row r="164">
          <cell r="A164" t="str">
            <v>T_TRLY_ELC</v>
          </cell>
          <cell r="B164" t="str">
            <v>VAR_fout</v>
          </cell>
          <cell r="C164" t="str">
            <v>TPTRLY</v>
          </cell>
          <cell r="H164">
            <v>3.1931033304286191E-2</v>
          </cell>
          <cell r="I164">
            <v>3.280317966421524E-2</v>
          </cell>
          <cell r="J164">
            <v>3.3869248732860013E-2</v>
          </cell>
        </row>
        <row r="165">
          <cell r="A165" t="str">
            <v>T_TRLY_ELC</v>
          </cell>
          <cell r="B165" t="str">
            <v>VAR_fin</v>
          </cell>
          <cell r="C165" t="str">
            <v>TELC</v>
          </cell>
          <cell r="H165">
            <v>0.47125700201555526</v>
          </cell>
          <cell r="I165">
            <v>0.48412865182977366</v>
          </cell>
          <cell r="J165">
            <v>0.49986232723086516</v>
          </cell>
        </row>
        <row r="166">
          <cell r="A166" t="str">
            <v>T_C-MHY-GSL-S2</v>
          </cell>
          <cell r="B166" t="str">
            <v>VAR_fout</v>
          </cell>
          <cell r="C166" t="str">
            <v>CO2_T</v>
          </cell>
          <cell r="H166">
            <v>0.10086672154908091</v>
          </cell>
          <cell r="I166">
            <v>2.4764961090463302E-2</v>
          </cell>
        </row>
        <row r="167">
          <cell r="A167" t="str">
            <v>T_C-MHY-GSL-S2</v>
          </cell>
          <cell r="B167" t="str">
            <v>VAR_fout</v>
          </cell>
          <cell r="C167" t="str">
            <v>TPCAR</v>
          </cell>
          <cell r="H167">
            <v>6.2934616642018148E-4</v>
          </cell>
          <cell r="I167">
            <v>1.6119176087308769E-4</v>
          </cell>
        </row>
        <row r="168">
          <cell r="A168" t="str">
            <v>T_C-MHY-GSL-S2</v>
          </cell>
          <cell r="B168" t="str">
            <v>VAR_fin</v>
          </cell>
          <cell r="C168" t="str">
            <v>TGSL</v>
          </cell>
          <cell r="H168">
            <v>1.3667577445674929E-3</v>
          </cell>
          <cell r="I168">
            <v>3.3556857846156235E-4</v>
          </cell>
        </row>
        <row r="169">
          <cell r="A169" t="str">
            <v>T_C-MHY-GSL-S2</v>
          </cell>
          <cell r="B169" t="str">
            <v>VAR_ncap</v>
          </cell>
          <cell r="C169" t="str">
            <v>-</v>
          </cell>
        </row>
        <row r="170">
          <cell r="A170" t="str">
            <v>T_C-MHY-GSL-S2</v>
          </cell>
          <cell r="B170" t="str">
            <v>VAR_cap</v>
          </cell>
          <cell r="C170" t="str">
            <v>-</v>
          </cell>
          <cell r="H170">
            <v>5.5534426901867203E-5</v>
          </cell>
          <cell r="I170">
            <v>1.45050777506461E-5</v>
          </cell>
        </row>
        <row r="171">
          <cell r="A171" t="str">
            <v>T_C-MHY-DSL-S1</v>
          </cell>
          <cell r="B171" t="str">
            <v>VAR_fout</v>
          </cell>
          <cell r="C171" t="str">
            <v>CO2_T</v>
          </cell>
          <cell r="H171">
            <v>7.1369039052550501E-2</v>
          </cell>
          <cell r="I171">
            <v>1.9552526213497911E-2</v>
          </cell>
        </row>
        <row r="172">
          <cell r="A172" t="str">
            <v>T_C-MHY-DSL-S1</v>
          </cell>
          <cell r="B172" t="str">
            <v>VAR_fout</v>
          </cell>
          <cell r="C172" t="str">
            <v>TPCAR</v>
          </cell>
          <cell r="H172">
            <v>5.9349208071300913E-4</v>
          </cell>
          <cell r="I172">
            <v>1.6856686510211932E-4</v>
          </cell>
        </row>
        <row r="173">
          <cell r="A173" t="str">
            <v>T_C-MHY-DSL-S1</v>
          </cell>
          <cell r="B173" t="str">
            <v>VAR_fin</v>
          </cell>
          <cell r="C173" t="str">
            <v>TDSL</v>
          </cell>
          <cell r="H173">
            <v>9.7365674014393533E-4</v>
          </cell>
          <cell r="I173">
            <v>2.6674660591402305E-4</v>
          </cell>
        </row>
        <row r="174">
          <cell r="A174" t="str">
            <v>T_C-MHY-DSL-S1</v>
          </cell>
          <cell r="B174" t="str">
            <v>VAR_ncap</v>
          </cell>
          <cell r="C174" t="str">
            <v>-</v>
          </cell>
        </row>
        <row r="175">
          <cell r="A175" t="str">
            <v>T_C-MHY-DSL-S1</v>
          </cell>
          <cell r="B175" t="str">
            <v>VAR_cap</v>
          </cell>
          <cell r="C175" t="str">
            <v>-</v>
          </cell>
          <cell r="H175">
            <v>8.22235809804865E-5</v>
          </cell>
          <cell r="I175">
            <v>2.31833146036178E-5</v>
          </cell>
        </row>
        <row r="176">
          <cell r="A176" t="str">
            <v>T_C-MHY-GSL-S3</v>
          </cell>
          <cell r="B176" t="str">
            <v>VAR_fout</v>
          </cell>
          <cell r="C176" t="str">
            <v>CO2_T</v>
          </cell>
          <cell r="H176">
            <v>0.107500444339546</v>
          </cell>
          <cell r="I176">
            <v>2.4235165470325021E-2</v>
          </cell>
        </row>
        <row r="177">
          <cell r="A177" t="str">
            <v>T_C-MHY-GSL-S3</v>
          </cell>
          <cell r="B177" t="str">
            <v>VAR_fout</v>
          </cell>
          <cell r="C177" t="str">
            <v>TPCAR</v>
          </cell>
          <cell r="H177">
            <v>6.205016688166083E-4</v>
          </cell>
          <cell r="I177">
            <v>1.4643445372536094E-4</v>
          </cell>
        </row>
        <row r="178">
          <cell r="A178" t="str">
            <v>T_C-MHY-GSL-S3</v>
          </cell>
          <cell r="B178" t="str">
            <v>VAR_fin</v>
          </cell>
          <cell r="C178" t="str">
            <v>TGSL</v>
          </cell>
          <cell r="H178">
            <v>1.4566455872567217E-3</v>
          </cell>
          <cell r="I178">
            <v>3.2838977602066483E-4</v>
          </cell>
        </row>
        <row r="179">
          <cell r="A179" t="str">
            <v>T_C-MHY-GSL-S3</v>
          </cell>
          <cell r="B179" t="str">
            <v>VAR_ncap</v>
          </cell>
          <cell r="C179" t="str">
            <v>-</v>
          </cell>
        </row>
        <row r="180">
          <cell r="A180" t="str">
            <v>T_C-MHY-GSL-S3</v>
          </cell>
          <cell r="B180" t="str">
            <v>VAR_cap</v>
          </cell>
          <cell r="C180" t="str">
            <v>-</v>
          </cell>
          <cell r="H180">
            <v>4.84395226767867E-5</v>
          </cell>
          <cell r="I180">
            <v>1.1807069755720899E-5</v>
          </cell>
        </row>
        <row r="181">
          <cell r="A181" t="str">
            <v>T_C-MHY-DSL-S2</v>
          </cell>
          <cell r="B181" t="str">
            <v>VAR_fout</v>
          </cell>
          <cell r="C181" t="str">
            <v>CO2_T</v>
          </cell>
          <cell r="H181">
            <v>7.6123063071833433E-2</v>
          </cell>
          <cell r="I181">
            <v>1.8641099302776701E-2</v>
          </cell>
        </row>
        <row r="182">
          <cell r="A182" t="str">
            <v>T_C-MHY-DSL-S2</v>
          </cell>
          <cell r="B182" t="str">
            <v>VAR_fout</v>
          </cell>
          <cell r="C182" t="str">
            <v>TPCAR</v>
          </cell>
          <cell r="H182">
            <v>5.0959910982491718E-4</v>
          </cell>
          <cell r="I182">
            <v>1.2946832448551933E-4</v>
          </cell>
        </row>
        <row r="183">
          <cell r="A183" t="str">
            <v>T_C-MHY-DSL-S2</v>
          </cell>
          <cell r="B183" t="str">
            <v>VAR_fin</v>
          </cell>
          <cell r="C183" t="str">
            <v>TDSL</v>
          </cell>
          <cell r="H183">
            <v>1.0385138208981364E-3</v>
          </cell>
          <cell r="I183">
            <v>2.5431240522205613E-4</v>
          </cell>
        </row>
        <row r="184">
          <cell r="A184" t="str">
            <v>T_C-MHY-DSL-S2</v>
          </cell>
          <cell r="B184" t="str">
            <v>VAR_ncap</v>
          </cell>
          <cell r="C184" t="str">
            <v>-</v>
          </cell>
        </row>
        <row r="185">
          <cell r="A185" t="str">
            <v>T_C-MHY-DSL-S2</v>
          </cell>
          <cell r="B185" t="str">
            <v>VAR_cap</v>
          </cell>
          <cell r="C185" t="str">
            <v>-</v>
          </cell>
          <cell r="H185">
            <v>4.4200710681889799E-5</v>
          </cell>
          <cell r="I185">
            <v>1.1465396231364899E-5</v>
          </cell>
        </row>
        <row r="186">
          <cell r="A186" t="str">
            <v>T_C-MHY-GSL-S4</v>
          </cell>
          <cell r="B186" t="str">
            <v>VAR_fout</v>
          </cell>
          <cell r="C186" t="str">
            <v>CO2_T</v>
          </cell>
          <cell r="H186">
            <v>0.12921258620811521</v>
          </cell>
          <cell r="I186">
            <v>2.8781825243527077E-2</v>
          </cell>
        </row>
        <row r="187">
          <cell r="A187" t="str">
            <v>T_C-MHY-GSL-S4</v>
          </cell>
          <cell r="B187" t="str">
            <v>VAR_fout</v>
          </cell>
          <cell r="C187" t="str">
            <v>TPCAR</v>
          </cell>
          <cell r="H187">
            <v>7.531199625360821E-4</v>
          </cell>
          <cell r="I187">
            <v>1.7523935773646523E-4</v>
          </cell>
        </row>
        <row r="188">
          <cell r="A188" t="str">
            <v>T_C-MHY-GSL-S4</v>
          </cell>
          <cell r="B188" t="str">
            <v>VAR_fin</v>
          </cell>
          <cell r="C188" t="str">
            <v>TGSL</v>
          </cell>
          <cell r="H188">
            <v>1.7508480516004786E-3</v>
          </cell>
          <cell r="I188">
            <v>3.8999763202611319E-4</v>
          </cell>
        </row>
        <row r="189">
          <cell r="A189" t="str">
            <v>T_C-MHY-GSL-S4</v>
          </cell>
          <cell r="B189" t="str">
            <v>VAR_ncap</v>
          </cell>
          <cell r="C189" t="str">
            <v>-</v>
          </cell>
        </row>
        <row r="190">
          <cell r="A190" t="str">
            <v>T_C-MHY-GSL-S4</v>
          </cell>
          <cell r="B190" t="str">
            <v>VAR_cap</v>
          </cell>
          <cell r="C190" t="str">
            <v>-</v>
          </cell>
          <cell r="H190">
            <v>6.9882800292578198E-5</v>
          </cell>
          <cell r="I190">
            <v>1.6673817828341701E-5</v>
          </cell>
        </row>
        <row r="191">
          <cell r="A191" t="str">
            <v>T_C-MHY-DSL-S3</v>
          </cell>
          <cell r="B191" t="str">
            <v>VAR_fout</v>
          </cell>
          <cell r="C191" t="str">
            <v>CO2_T</v>
          </cell>
          <cell r="H191">
            <v>7.8304182742259698E-2</v>
          </cell>
          <cell r="I191">
            <v>1.7909639791217218E-2</v>
          </cell>
        </row>
        <row r="192">
          <cell r="A192" t="str">
            <v>T_C-MHY-DSL-S3</v>
          </cell>
          <cell r="B192" t="str">
            <v>VAR_fout</v>
          </cell>
          <cell r="C192" t="str">
            <v>TPCAR</v>
          </cell>
          <cell r="H192">
            <v>4.8557163998821484E-4</v>
          </cell>
          <cell r="I192">
            <v>1.1556531446913488E-4</v>
          </cell>
        </row>
        <row r="193">
          <cell r="A193" t="str">
            <v>T_C-MHY-DSL-S3</v>
          </cell>
          <cell r="B193" t="str">
            <v>VAR_fin</v>
          </cell>
          <cell r="C193" t="str">
            <v>TDSL</v>
          </cell>
          <cell r="H193">
            <v>1.0682698873432427E-3</v>
          </cell>
          <cell r="I193">
            <v>2.4433342143543305E-4</v>
          </cell>
        </row>
        <row r="194">
          <cell r="A194" t="str">
            <v>T_C-MHY-DSL-S3</v>
          </cell>
          <cell r="B194" t="str">
            <v>VAR_ncap</v>
          </cell>
          <cell r="C194" t="str">
            <v>-</v>
          </cell>
        </row>
        <row r="195">
          <cell r="A195" t="str">
            <v>T_C-MHY-DSL-S3</v>
          </cell>
          <cell r="B195" t="str">
            <v>VAR_cap</v>
          </cell>
          <cell r="C195" t="str">
            <v>-</v>
          </cell>
          <cell r="H195">
            <v>3.7550407915544202E-5</v>
          </cell>
          <cell r="I195">
            <v>9.1513627272187507E-6</v>
          </cell>
        </row>
        <row r="196">
          <cell r="A196" t="str">
            <v>T_B_c-HYBDSL-S1</v>
          </cell>
          <cell r="B196" t="str">
            <v>VAR_fout</v>
          </cell>
          <cell r="C196" t="str">
            <v>CO2_T</v>
          </cell>
          <cell r="H196">
            <v>9.0766914997487697E-4</v>
          </cell>
          <cell r="I196">
            <v>1.1030487223471E-3</v>
          </cell>
          <cell r="J196">
            <v>2.9158887376418499E-4</v>
          </cell>
        </row>
        <row r="197">
          <cell r="A197" t="str">
            <v>T_B_c-HYBDSL-S1</v>
          </cell>
          <cell r="B197" t="str">
            <v>VAR_fout</v>
          </cell>
          <cell r="C197" t="str">
            <v>TPBSc</v>
          </cell>
          <cell r="H197">
            <v>2.4085575813192809E-6</v>
          </cell>
          <cell r="I197">
            <v>3.0796340427790964E-6</v>
          </cell>
          <cell r="J197">
            <v>8.1409551903477061E-7</v>
          </cell>
        </row>
        <row r="198">
          <cell r="A198" t="str">
            <v>T_B_c-HYBDSL-S1</v>
          </cell>
          <cell r="B198" t="str">
            <v>VAR_fin</v>
          </cell>
          <cell r="C198" t="str">
            <v>TDSL</v>
          </cell>
          <cell r="H198">
            <v>1.2382935197474451E-5</v>
          </cell>
          <cell r="I198">
            <v>1.5048413674585251E-5</v>
          </cell>
          <cell r="J198">
            <v>3.9780201059234034E-6</v>
          </cell>
        </row>
        <row r="199">
          <cell r="A199" t="str">
            <v>T_B_c-HYBDSL-S1</v>
          </cell>
          <cell r="B199" t="str">
            <v>VAR_ncap</v>
          </cell>
          <cell r="C199" t="str">
            <v>-</v>
          </cell>
          <cell r="H199">
            <v>5.9402355110384403E-8</v>
          </cell>
          <cell r="I199">
            <v>6.7879776881677499E-8</v>
          </cell>
        </row>
        <row r="200">
          <cell r="A200" t="str">
            <v>T_B_c-HYBDSL-S1</v>
          </cell>
          <cell r="B200" t="str">
            <v>VAR_cap</v>
          </cell>
          <cell r="C200" t="str">
            <v>-</v>
          </cell>
          <cell r="H200">
            <v>8.135003397509002E-8</v>
          </cell>
          <cell r="I200">
            <v>5.8448764591150898E-8</v>
          </cell>
          <cell r="J200">
            <v>4.4466505481315502E-8</v>
          </cell>
        </row>
        <row r="201">
          <cell r="A201" t="str">
            <v>T_C-MHY-DSL-S4</v>
          </cell>
          <cell r="B201" t="str">
            <v>VAR_fout</v>
          </cell>
          <cell r="C201" t="str">
            <v>CO2_T</v>
          </cell>
          <cell r="H201">
            <v>5.8098833642075923E-2</v>
          </cell>
          <cell r="I201">
            <v>1.3782710166098621E-2</v>
          </cell>
        </row>
        <row r="202">
          <cell r="A202" t="str">
            <v>T_C-MHY-DSL-S4</v>
          </cell>
          <cell r="B202" t="str">
            <v>VAR_fout</v>
          </cell>
          <cell r="C202" t="str">
            <v>TPCAR</v>
          </cell>
          <cell r="H202">
            <v>3.4233381873800394E-4</v>
          </cell>
          <cell r="I202">
            <v>8.4469455529980999E-5</v>
          </cell>
        </row>
        <row r="203">
          <cell r="A203" t="str">
            <v>T_C-MHY-DSL-S4</v>
          </cell>
          <cell r="B203" t="str">
            <v>VAR_fin</v>
          </cell>
          <cell r="C203" t="str">
            <v>TDSL</v>
          </cell>
          <cell r="H203">
            <v>7.9261710289326066E-4</v>
          </cell>
          <cell r="I203">
            <v>1.880315165907042E-4</v>
          </cell>
        </row>
        <row r="204">
          <cell r="A204" t="str">
            <v>T_C-MHY-DSL-S4</v>
          </cell>
          <cell r="B204" t="str">
            <v>VAR_ncap</v>
          </cell>
          <cell r="C204" t="str">
            <v>-</v>
          </cell>
        </row>
        <row r="205">
          <cell r="A205" t="str">
            <v>T_C-MHY-DSL-S4</v>
          </cell>
          <cell r="B205" t="str">
            <v>VAR_cap</v>
          </cell>
          <cell r="C205" t="str">
            <v>-</v>
          </cell>
          <cell r="H205">
            <v>3.1020894365915601E-5</v>
          </cell>
          <cell r="I205">
            <v>7.7659425852122608E-6</v>
          </cell>
        </row>
        <row r="206">
          <cell r="A206" t="str">
            <v>T_B_c-HYBDSL-S2</v>
          </cell>
          <cell r="B206" t="str">
            <v>VAR_fout</v>
          </cell>
          <cell r="C206" t="str">
            <v>CO2_T</v>
          </cell>
          <cell r="H206">
            <v>1.3255917353943E-3</v>
          </cell>
          <cell r="I206">
            <v>1.71951535022296E-3</v>
          </cell>
          <cell r="J206">
            <v>9.18488356155219E-4</v>
          </cell>
        </row>
        <row r="207">
          <cell r="A207" t="str">
            <v>T_B_c-HYBDSL-S2</v>
          </cell>
          <cell r="B207" t="str">
            <v>VAR_fout</v>
          </cell>
          <cell r="C207" t="str">
            <v>TPBSc</v>
          </cell>
          <cell r="H207">
            <v>2.5209526849997288E-6</v>
          </cell>
          <cell r="I207">
            <v>3.440722781993215E-6</v>
          </cell>
          <cell r="J207">
            <v>1.8378805467534713E-6</v>
          </cell>
        </row>
        <row r="208">
          <cell r="A208" t="str">
            <v>T_B_c-HYBDSL-S2</v>
          </cell>
          <cell r="B208" t="str">
            <v>VAR_fin</v>
          </cell>
          <cell r="C208" t="str">
            <v>TDSL</v>
          </cell>
          <cell r="H208">
            <v>1.8084471151354644E-5</v>
          </cell>
          <cell r="I208">
            <v>2.3458599593764834E-5</v>
          </cell>
          <cell r="J208">
            <v>1.2530536918897945E-5</v>
          </cell>
        </row>
        <row r="209">
          <cell r="A209" t="str">
            <v>T_B_c-HYBDSL-S2</v>
          </cell>
          <cell r="B209" t="str">
            <v>VAR_ncap</v>
          </cell>
          <cell r="C209" t="str">
            <v>-</v>
          </cell>
          <cell r="H209">
            <v>3.3574352271379198E-8</v>
          </cell>
          <cell r="I209">
            <v>5.4440785538470702E-8</v>
          </cell>
        </row>
        <row r="210">
          <cell r="A210" t="str">
            <v>T_B_c-HYBDSL-S2</v>
          </cell>
          <cell r="B210" t="str">
            <v>VAR_cap</v>
          </cell>
          <cell r="C210" t="str">
            <v>-</v>
          </cell>
          <cell r="H210">
            <v>2.6629465086578029E-8</v>
          </cell>
          <cell r="I210">
            <v>2.874830760097009E-8</v>
          </cell>
          <cell r="J210">
            <v>3.31942592335722E-8</v>
          </cell>
        </row>
        <row r="211">
          <cell r="A211" t="str">
            <v>T_C-BATELCEXT</v>
          </cell>
          <cell r="B211" t="str">
            <v>VAR_fout</v>
          </cell>
          <cell r="C211" t="str">
            <v>TPCAR</v>
          </cell>
        </row>
        <row r="212">
          <cell r="A212" t="str">
            <v>T_C-BATELCEXT</v>
          </cell>
          <cell r="B212" t="str">
            <v>VAR_fin</v>
          </cell>
          <cell r="C212" t="str">
            <v>T-ELC-car</v>
          </cell>
        </row>
        <row r="213">
          <cell r="A213" t="str">
            <v>T_C-BATELCEXT</v>
          </cell>
          <cell r="B213" t="str">
            <v>VAR_cap</v>
          </cell>
          <cell r="C213" t="str">
            <v>-</v>
          </cell>
        </row>
        <row r="214">
          <cell r="A214" t="str">
            <v>D-TDSL</v>
          </cell>
          <cell r="B214" t="str">
            <v>VAR_fout</v>
          </cell>
          <cell r="C214" t="str">
            <v>CO2</v>
          </cell>
          <cell r="H214">
            <v>2444.3686373308001</v>
          </cell>
          <cell r="I214">
            <v>1211.3309024267901</v>
          </cell>
          <cell r="J214">
            <v>99.059339292891494</v>
          </cell>
        </row>
        <row r="215">
          <cell r="A215" t="str">
            <v>D-TDSL</v>
          </cell>
          <cell r="B215" t="str">
            <v>VAR_fout</v>
          </cell>
          <cell r="C215" t="str">
            <v>TDSL</v>
          </cell>
          <cell r="H215">
            <v>32.857379806798463</v>
          </cell>
          <cell r="I215">
            <v>16.282797498257519</v>
          </cell>
          <cell r="J215">
            <v>1.3315627949273894</v>
          </cell>
        </row>
        <row r="216">
          <cell r="A216" t="str">
            <v>D-TDSL</v>
          </cell>
          <cell r="B216" t="str">
            <v>VAR_fin</v>
          </cell>
          <cell r="C216" t="str">
            <v>DSL</v>
          </cell>
          <cell r="H216">
            <v>33.347457535208655</v>
          </cell>
          <cell r="I216">
            <v>16.52566033324409</v>
          </cell>
          <cell r="J216">
            <v>1.3514234555646865</v>
          </cell>
        </row>
        <row r="217">
          <cell r="A217" t="str">
            <v>T_B_c-HYBDSL-S3</v>
          </cell>
          <cell r="B217" t="str">
            <v>VAR_fout</v>
          </cell>
          <cell r="C217" t="str">
            <v>CO2_T</v>
          </cell>
          <cell r="I217">
            <v>5.0204145457060604E-4</v>
          </cell>
        </row>
        <row r="218">
          <cell r="A218" t="str">
            <v>T_B_c-HYBDSL-S3</v>
          </cell>
          <cell r="B218" t="str">
            <v>VAR_fout</v>
          </cell>
          <cell r="C218" t="str">
            <v>TPBSc</v>
          </cell>
          <cell r="I218">
            <v>6.7622855599849505E-7</v>
          </cell>
        </row>
        <row r="219">
          <cell r="A219" t="str">
            <v>T_B_c-HYBDSL-S3</v>
          </cell>
          <cell r="B219" t="str">
            <v>VAR_fin</v>
          </cell>
          <cell r="C219" t="str">
            <v>TDSL</v>
          </cell>
          <cell r="I219">
            <v>6.8491330773616024E-6</v>
          </cell>
        </row>
        <row r="220">
          <cell r="A220" t="str">
            <v>T_B_c-HYBDSL-S3</v>
          </cell>
          <cell r="B220" t="str">
            <v>VAR_ncap</v>
          </cell>
          <cell r="C220" t="str">
            <v>-</v>
          </cell>
          <cell r="H220">
            <v>1.6117593302438099E-8</v>
          </cell>
          <cell r="I220">
            <v>3.3725620469889898E-8</v>
          </cell>
        </row>
        <row r="221">
          <cell r="A221" t="str">
            <v>T_B_c-HYBDSL-S3</v>
          </cell>
          <cell r="B221" t="str">
            <v>VAR_cap</v>
          </cell>
          <cell r="C221" t="str">
            <v>-</v>
          </cell>
          <cell r="H221">
            <v>3.3967885781961299E-8</v>
          </cell>
          <cell r="I221">
            <v>3.5250853089794702E-8</v>
          </cell>
          <cell r="J221">
            <v>1.15517415705732E-8</v>
          </cell>
        </row>
        <row r="222">
          <cell r="A222" t="str">
            <v>T-Bat-Car-STG_S1</v>
          </cell>
          <cell r="B222" t="str">
            <v>VAR_fout</v>
          </cell>
          <cell r="C222" t="str">
            <v>T-ELC-car-BatSTGAUXout_S1</v>
          </cell>
          <cell r="H222">
            <v>1.0501175604080515</v>
          </cell>
          <cell r="I222">
            <v>1.7807886472852508</v>
          </cell>
          <cell r="J222">
            <v>1.7421186338632271</v>
          </cell>
        </row>
        <row r="223">
          <cell r="A223" t="str">
            <v>T-Bat-Car-STG_S1</v>
          </cell>
          <cell r="B223" t="str">
            <v>VAR_fout</v>
          </cell>
          <cell r="C223" t="str">
            <v>T-ELC-car-BatSTGOut_S1</v>
          </cell>
          <cell r="H223">
            <v>1.0501175604080513</v>
          </cell>
          <cell r="I223">
            <v>1.7807886472852508</v>
          </cell>
          <cell r="J223">
            <v>1.7421186338632269</v>
          </cell>
        </row>
        <row r="224">
          <cell r="A224" t="str">
            <v>T-Bat-Car-STG_S1</v>
          </cell>
          <cell r="B224" t="str">
            <v>VAR_fin</v>
          </cell>
          <cell r="C224" t="str">
            <v>T-ELC-car-BatSTGAUXin_S1</v>
          </cell>
          <cell r="H224">
            <v>1.0502759005486111</v>
          </cell>
          <cell r="I224">
            <v>1.7810097790276915</v>
          </cell>
          <cell r="J224">
            <v>1.7423313154150097</v>
          </cell>
        </row>
        <row r="225">
          <cell r="A225" t="str">
            <v>T-Bat-Car-STG_S1</v>
          </cell>
          <cell r="B225" t="str">
            <v>VAR_fin</v>
          </cell>
          <cell r="C225" t="str">
            <v>T-ELC-car-BatSTGin_S1</v>
          </cell>
          <cell r="H225">
            <v>1.0502759005486111</v>
          </cell>
          <cell r="I225">
            <v>1.7810097790276915</v>
          </cell>
          <cell r="J225">
            <v>1.7423313154150097</v>
          </cell>
        </row>
        <row r="226">
          <cell r="A226" t="str">
            <v>T-Bat-Car-STG_S1</v>
          </cell>
          <cell r="B226" t="str">
            <v>VAR_ncap</v>
          </cell>
          <cell r="C226" t="str">
            <v>-</v>
          </cell>
          <cell r="H226">
            <v>15.479006416816899</v>
          </cell>
          <cell r="I226">
            <v>10.439299487739399</v>
          </cell>
          <cell r="J226">
            <v>20.336424882125499</v>
          </cell>
        </row>
        <row r="227">
          <cell r="A227" t="str">
            <v>T-Bat-Car-STG_S1</v>
          </cell>
          <cell r="B227" t="str">
            <v>VAR_cap</v>
          </cell>
          <cell r="C227" t="str">
            <v>-</v>
          </cell>
          <cell r="H227">
            <v>21.769498395505295</v>
          </cell>
          <cell r="I227">
            <v>26.45515457433412</v>
          </cell>
          <cell r="J227">
            <v>26.47819735950852</v>
          </cell>
        </row>
        <row r="228">
          <cell r="A228" t="str">
            <v>T_B_c-HYBDSL-S4</v>
          </cell>
          <cell r="B228" t="str">
            <v>VAR_fout</v>
          </cell>
          <cell r="C228" t="str">
            <v>CO2_T</v>
          </cell>
        </row>
        <row r="229">
          <cell r="A229" t="str">
            <v>T_B_c-HYBDSL-S4</v>
          </cell>
          <cell r="B229" t="str">
            <v>VAR_fout</v>
          </cell>
          <cell r="C229" t="str">
            <v>TPBSc</v>
          </cell>
        </row>
        <row r="230">
          <cell r="A230" t="str">
            <v>T_B_c-HYBDSL-S4</v>
          </cell>
          <cell r="B230" t="str">
            <v>VAR_fin</v>
          </cell>
          <cell r="C230" t="str">
            <v>TDSL</v>
          </cell>
        </row>
        <row r="231">
          <cell r="A231" t="str">
            <v>T_B_c-HYBDSL-S4</v>
          </cell>
          <cell r="B231" t="str">
            <v>VAR_ncap</v>
          </cell>
          <cell r="C231" t="str">
            <v>-</v>
          </cell>
        </row>
        <row r="232">
          <cell r="A232" t="str">
            <v>T_B_c-HYBDSL-S4</v>
          </cell>
          <cell r="B232" t="str">
            <v>VAR_cap</v>
          </cell>
          <cell r="C232" t="str">
            <v>-</v>
          </cell>
          <cell r="H232">
            <v>3.1499302262183698E-9</v>
          </cell>
          <cell r="I232">
            <v>-2.10800750235637E-8</v>
          </cell>
        </row>
        <row r="233">
          <cell r="A233" t="str">
            <v>TFHGV-ICEDSLExt</v>
          </cell>
          <cell r="B233" t="str">
            <v>VAR_fout</v>
          </cell>
          <cell r="C233" t="str">
            <v>CO2_T</v>
          </cell>
        </row>
        <row r="234">
          <cell r="A234" t="str">
            <v>TFHGV-ICEDSLExt</v>
          </cell>
          <cell r="B234" t="str">
            <v>VAR_fout</v>
          </cell>
          <cell r="C234" t="str">
            <v>TFHGV</v>
          </cell>
        </row>
        <row r="235">
          <cell r="A235" t="str">
            <v>TFHGV-ICEDSLExt</v>
          </cell>
          <cell r="B235" t="str">
            <v>VAR_fin</v>
          </cell>
          <cell r="C235" t="str">
            <v>TDSL</v>
          </cell>
        </row>
        <row r="236">
          <cell r="A236" t="str">
            <v>TFHGV-ICEDSLExt</v>
          </cell>
          <cell r="B236" t="str">
            <v>VAR_cap</v>
          </cell>
          <cell r="C236" t="str">
            <v>-</v>
          </cell>
        </row>
        <row r="237">
          <cell r="A237" t="str">
            <v>TPSHPGSLEXT</v>
          </cell>
          <cell r="B237" t="str">
            <v>VAR_fout</v>
          </cell>
          <cell r="C237" t="str">
            <v>TPSHP</v>
          </cell>
          <cell r="H237">
            <v>8.9998283560626495E-3</v>
          </cell>
          <cell r="I237">
            <v>1.5241722254850499E-2</v>
          </cell>
        </row>
        <row r="238">
          <cell r="A238" t="str">
            <v>TPSHPGSLEXT</v>
          </cell>
          <cell r="B238" t="str">
            <v>VAR_fout</v>
          </cell>
          <cell r="C238" t="str">
            <v>CO2_T</v>
          </cell>
          <cell r="H238">
            <v>0.73276516145542903</v>
          </cell>
          <cell r="I238">
            <v>1.2409795639503201</v>
          </cell>
        </row>
        <row r="239">
          <cell r="A239" t="str">
            <v>TPSHPGSLEXT</v>
          </cell>
          <cell r="B239" t="str">
            <v>VAR_fin</v>
          </cell>
          <cell r="C239" t="str">
            <v>TGSL</v>
          </cell>
          <cell r="H239">
            <v>9.9290672283933942E-3</v>
          </cell>
          <cell r="I239">
            <v>1.6815441245939269E-2</v>
          </cell>
        </row>
        <row r="240">
          <cell r="A240" t="str">
            <v>TPSHPGSLEXT</v>
          </cell>
          <cell r="B240" t="str">
            <v>VAR_ncap</v>
          </cell>
          <cell r="C240" t="str">
            <v>-</v>
          </cell>
          <cell r="H240">
            <v>2.51671157527114E-5</v>
          </cell>
          <cell r="I240">
            <v>1.20487603322923E-2</v>
          </cell>
          <cell r="J240">
            <v>3.0171181141084199E-6</v>
          </cell>
        </row>
        <row r="241">
          <cell r="A241" t="str">
            <v>TPSHPGSLEXT</v>
          </cell>
          <cell r="B241" t="str">
            <v>VAR_cap</v>
          </cell>
          <cell r="C241" t="str">
            <v>-</v>
          </cell>
          <cell r="H241">
            <v>8.9937848076153681E-3</v>
          </cell>
          <cell r="I241">
            <v>1.5208134781656502E-2</v>
          </cell>
          <cell r="J241">
            <v>1.1957795844000016E-5</v>
          </cell>
        </row>
        <row r="242">
          <cell r="A242" t="str">
            <v>T-Bat-Car-STG_S2</v>
          </cell>
          <cell r="B242" t="str">
            <v>VAR_fout</v>
          </cell>
          <cell r="C242" t="str">
            <v>T-ELC-car-BatSTGAUXout_S2</v>
          </cell>
          <cell r="H242">
            <v>10.751233765802196</v>
          </cell>
          <cell r="I242">
            <v>12.113042807546377</v>
          </cell>
          <cell r="J242">
            <v>10.91701967875011</v>
          </cell>
        </row>
        <row r="243">
          <cell r="A243" t="str">
            <v>T-Bat-Car-STG_S2</v>
          </cell>
          <cell r="B243" t="str">
            <v>VAR_fout</v>
          </cell>
          <cell r="C243" t="str">
            <v>T-ELC-car-BatSTGOut_S2</v>
          </cell>
          <cell r="H243">
            <v>10.751233765802194</v>
          </cell>
          <cell r="I243">
            <v>12.113042807546375</v>
          </cell>
          <cell r="J243">
            <v>10.917019678750107</v>
          </cell>
        </row>
        <row r="244">
          <cell r="A244" t="str">
            <v>T-Bat-Car-STG_S2</v>
          </cell>
          <cell r="B244" t="str">
            <v>VAR_fin</v>
          </cell>
          <cell r="C244" t="str">
            <v>T-ELC-car-BatSTGAUXin_S2</v>
          </cell>
          <cell r="H244">
            <v>10.752355166769384</v>
          </cell>
          <cell r="I244">
            <v>12.114294304637522</v>
          </cell>
          <cell r="J244">
            <v>10.918146407881963</v>
          </cell>
        </row>
        <row r="245">
          <cell r="A245" t="str">
            <v>T-Bat-Car-STG_S2</v>
          </cell>
          <cell r="B245" t="str">
            <v>VAR_fin</v>
          </cell>
          <cell r="C245" t="str">
            <v>T-ELC-car-BatSTGin_S2</v>
          </cell>
          <cell r="H245">
            <v>10.752355166769384</v>
          </cell>
          <cell r="I245">
            <v>12.114294304637522</v>
          </cell>
          <cell r="J245">
            <v>10.918146407881963</v>
          </cell>
        </row>
        <row r="246">
          <cell r="A246" t="str">
            <v>T-Bat-Car-STG_S2</v>
          </cell>
          <cell r="B246" t="str">
            <v>VAR_ncap</v>
          </cell>
          <cell r="C246" t="str">
            <v>-</v>
          </cell>
          <cell r="H246">
            <v>162.121888388738</v>
          </cell>
          <cell r="I246">
            <v>91.432793390255796</v>
          </cell>
          <cell r="J246">
            <v>180.59464651595101</v>
          </cell>
        </row>
        <row r="247">
          <cell r="A247" t="str">
            <v>T-Bat-Car-STG_S2</v>
          </cell>
          <cell r="B247" t="str">
            <v>VAR_cap</v>
          </cell>
          <cell r="C247" t="str">
            <v>-</v>
          </cell>
          <cell r="H247">
            <v>221.99320252149357</v>
          </cell>
          <cell r="I247">
            <v>256.28392921142307</v>
          </cell>
          <cell r="J247">
            <v>240.20070321895017</v>
          </cell>
        </row>
        <row r="248">
          <cell r="A248" t="str">
            <v>T_TW-ICEGSL-S1</v>
          </cell>
          <cell r="B248" t="str">
            <v>VAR_fout</v>
          </cell>
          <cell r="C248" t="str">
            <v>CO2_T</v>
          </cell>
          <cell r="H248">
            <v>63.051089556474224</v>
          </cell>
          <cell r="I248">
            <v>32.032835962285283</v>
          </cell>
          <cell r="J248">
            <v>5.0939585648641037</v>
          </cell>
        </row>
        <row r="249">
          <cell r="A249" t="str">
            <v>T_TW-ICEGSL-S1</v>
          </cell>
          <cell r="B249" t="str">
            <v>VAR_fout</v>
          </cell>
          <cell r="C249" t="str">
            <v>TPTWL</v>
          </cell>
          <cell r="H249">
            <v>1.7265808252607895</v>
          </cell>
          <cell r="I249">
            <v>0.88531090068710128</v>
          </cell>
          <cell r="J249">
            <v>0.14135283999688783</v>
          </cell>
        </row>
        <row r="250">
          <cell r="A250" t="str">
            <v>T_TW-ICEGSL-S1</v>
          </cell>
          <cell r="B250" t="str">
            <v>VAR_fin</v>
          </cell>
          <cell r="C250" t="str">
            <v>TGSL</v>
          </cell>
          <cell r="H250">
            <v>0.85435080699829613</v>
          </cell>
          <cell r="I250">
            <v>0.43404926778164243</v>
          </cell>
          <cell r="J250">
            <v>6.9023828792196429E-2</v>
          </cell>
        </row>
        <row r="251">
          <cell r="A251" t="str">
            <v>T_TW-ICEGSL-S1</v>
          </cell>
          <cell r="B251" t="str">
            <v>VAR_ncap</v>
          </cell>
          <cell r="C251" t="str">
            <v>-</v>
          </cell>
          <cell r="H251">
            <v>0.37701913807665</v>
          </cell>
          <cell r="I251">
            <v>1.26662299830862E-3</v>
          </cell>
          <cell r="J251">
            <v>1.16059339874905E-3</v>
          </cell>
        </row>
        <row r="252">
          <cell r="A252" t="str">
            <v>T_TW-ICEGSL-S1</v>
          </cell>
          <cell r="B252" t="str">
            <v>VAR_cap</v>
          </cell>
          <cell r="C252" t="str">
            <v>-</v>
          </cell>
          <cell r="H252">
            <v>0.70733280798894027</v>
          </cell>
          <cell r="I252">
            <v>0.42645159482640133</v>
          </cell>
          <cell r="J252">
            <v>6.7957997683340973E-2</v>
          </cell>
        </row>
        <row r="253">
          <cell r="A253" t="str">
            <v>TPSHPDSLEXT</v>
          </cell>
          <cell r="B253" t="str">
            <v>VAR_fout</v>
          </cell>
          <cell r="C253" t="str">
            <v>TPSHP</v>
          </cell>
          <cell r="H253">
            <v>13.186531463832701</v>
          </cell>
          <cell r="I253">
            <v>7.43047749840043</v>
          </cell>
          <cell r="J253">
            <v>2.0187706726964998</v>
          </cell>
        </row>
        <row r="254">
          <cell r="A254" t="str">
            <v>TPSHPDSLEXT</v>
          </cell>
          <cell r="B254" t="str">
            <v>VAR_fout</v>
          </cell>
          <cell r="C254" t="str">
            <v>CO2_T</v>
          </cell>
          <cell r="H254">
            <v>978.04544438362905</v>
          </cell>
          <cell r="I254">
            <v>551.11874467050598</v>
          </cell>
          <cell r="J254">
            <v>149.732282905592</v>
          </cell>
        </row>
        <row r="255">
          <cell r="A255" t="str">
            <v>TPSHPDSLEXT</v>
          </cell>
          <cell r="B255" t="str">
            <v>VAR_fin</v>
          </cell>
          <cell r="C255" t="str">
            <v>TDSL</v>
          </cell>
          <cell r="H255">
            <v>13.343048354483306</v>
          </cell>
          <cell r="I255">
            <v>7.5186731878649944</v>
          </cell>
          <cell r="J255">
            <v>2.0427323725183082</v>
          </cell>
        </row>
        <row r="256">
          <cell r="A256" t="str">
            <v>TPSHPDSLEXT</v>
          </cell>
          <cell r="B256" t="str">
            <v>VAR_ncap</v>
          </cell>
          <cell r="C256" t="str">
            <v>-</v>
          </cell>
          <cell r="H256">
            <v>3.1620266341225E-5</v>
          </cell>
          <cell r="I256">
            <v>2.8161553368513599</v>
          </cell>
          <cell r="J256">
            <v>5.5785770845653197E-6</v>
          </cell>
        </row>
        <row r="257">
          <cell r="A257" t="str">
            <v>TPSHPDSLEXT</v>
          </cell>
          <cell r="B257" t="str">
            <v>VAR_cap</v>
          </cell>
          <cell r="C257" t="str">
            <v>-</v>
          </cell>
          <cell r="H257">
            <v>13.186528020750941</v>
          </cell>
          <cell r="I257">
            <v>7.4304555140916495</v>
          </cell>
          <cell r="J257">
            <v>2.0187532494889289</v>
          </cell>
        </row>
        <row r="258">
          <cell r="A258" t="str">
            <v>T-Bat-Car-STG_S3</v>
          </cell>
          <cell r="B258" t="str">
            <v>VAR_fout</v>
          </cell>
          <cell r="C258" t="str">
            <v>T-ELC-car-BatSTGAUXout_S3</v>
          </cell>
          <cell r="H258">
            <v>1.1890054400081607</v>
          </cell>
          <cell r="I258">
            <v>6.5802974761645761</v>
          </cell>
          <cell r="J258">
            <v>9.6262929722079527</v>
          </cell>
        </row>
        <row r="259">
          <cell r="A259" t="str">
            <v>T-Bat-Car-STG_S3</v>
          </cell>
          <cell r="B259" t="str">
            <v>VAR_fout</v>
          </cell>
          <cell r="C259" t="str">
            <v>T-ELC-car-BatSTGOut_S3</v>
          </cell>
          <cell r="H259">
            <v>1.1890054400081607</v>
          </cell>
          <cell r="I259">
            <v>6.5802974761645752</v>
          </cell>
          <cell r="J259">
            <v>9.6262929722079527</v>
          </cell>
        </row>
        <row r="260">
          <cell r="A260" t="str">
            <v>T-Bat-Car-STG_S3</v>
          </cell>
          <cell r="B260" t="str">
            <v>VAR_fin</v>
          </cell>
          <cell r="C260" t="str">
            <v>T-ELC-car-BatSTGAUXin_S3</v>
          </cell>
          <cell r="H260">
            <v>1.1891704997203278</v>
          </cell>
          <cell r="I260">
            <v>6.5809925648613277</v>
          </cell>
          <cell r="J260">
            <v>9.6272904846474727</v>
          </cell>
        </row>
        <row r="261">
          <cell r="A261" t="str">
            <v>T-Bat-Car-STG_S3</v>
          </cell>
          <cell r="B261" t="str">
            <v>VAR_fin</v>
          </cell>
          <cell r="C261" t="str">
            <v>T-ELC-car-BatSTGin_S3</v>
          </cell>
          <cell r="H261">
            <v>1.1891704997203278</v>
          </cell>
          <cell r="I261">
            <v>6.5809925648613277</v>
          </cell>
          <cell r="J261">
            <v>9.6272904846474727</v>
          </cell>
        </row>
        <row r="262">
          <cell r="A262" t="str">
            <v>T-Bat-Car-STG_S3</v>
          </cell>
          <cell r="B262" t="str">
            <v>VAR_ncap</v>
          </cell>
          <cell r="C262" t="str">
            <v>-</v>
          </cell>
          <cell r="H262">
            <v>11.7033749455078</v>
          </cell>
          <cell r="I262">
            <v>89.021744627329497</v>
          </cell>
          <cell r="J262">
            <v>115.729567051584</v>
          </cell>
        </row>
        <row r="263">
          <cell r="A263" t="str">
            <v>T-Bat-Car-STG_S3</v>
          </cell>
          <cell r="B263" t="str">
            <v>VAR_cap</v>
          </cell>
          <cell r="C263" t="str">
            <v>-</v>
          </cell>
          <cell r="H263">
            <v>17.182967963157491</v>
          </cell>
          <cell r="I263">
            <v>96.205291537609028</v>
          </cell>
          <cell r="J263">
            <v>146.55450681879191</v>
          </cell>
        </row>
        <row r="264">
          <cell r="A264" t="str">
            <v>T_TW-ICEGSL-S2</v>
          </cell>
          <cell r="B264" t="str">
            <v>VAR_fout</v>
          </cell>
          <cell r="C264" t="str">
            <v>CO2_T</v>
          </cell>
          <cell r="H264">
            <v>0.81829926118632068</v>
          </cell>
          <cell r="I264">
            <v>6.5653835746508502E-2</v>
          </cell>
          <cell r="J264">
            <v>3.7657474535617096E-2</v>
          </cell>
        </row>
        <row r="265">
          <cell r="A265" t="str">
            <v>T_TW-ICEGSL-S2</v>
          </cell>
          <cell r="B265" t="str">
            <v>VAR_fout</v>
          </cell>
          <cell r="C265" t="str">
            <v>TPTWL</v>
          </cell>
          <cell r="H265">
            <v>1.2342106610160351E-2</v>
          </cell>
          <cell r="I265">
            <v>1.0500003277814406E-3</v>
          </cell>
          <cell r="J265">
            <v>6.2060579212959649E-4</v>
          </cell>
        </row>
        <row r="266">
          <cell r="A266" t="str">
            <v>T_TW-ICEGSL-S2</v>
          </cell>
          <cell r="B266" t="str">
            <v>VAR_fin</v>
          </cell>
          <cell r="C266" t="str">
            <v>TGSL</v>
          </cell>
          <cell r="H266">
            <v>1.108806586973333E-2</v>
          </cell>
          <cell r="I266">
            <v>8.8961837054889637E-4</v>
          </cell>
          <cell r="J266">
            <v>5.1026388259643729E-4</v>
          </cell>
        </row>
        <row r="267">
          <cell r="A267" t="str">
            <v>T_TW-ICEGSL-S2</v>
          </cell>
          <cell r="B267" t="str">
            <v>VAR_ncap</v>
          </cell>
          <cell r="C267" t="str">
            <v>-</v>
          </cell>
          <cell r="H267">
            <v>2.1278376668555001E-4</v>
          </cell>
          <cell r="I267">
            <v>1.3434817271911701E-4</v>
          </cell>
          <cell r="J267">
            <v>9.6401703140359306E-5</v>
          </cell>
        </row>
        <row r="268">
          <cell r="A268" t="str">
            <v>T_TW-ICEGSL-S2</v>
          </cell>
          <cell r="B268" t="str">
            <v>VAR_cap</v>
          </cell>
          <cell r="C268" t="str">
            <v>-</v>
          </cell>
          <cell r="H268">
            <v>5.5977352366541533E-3</v>
          </cell>
          <cell r="I268">
            <v>4.4568320049649131E-4</v>
          </cell>
          <cell r="J268">
            <v>2.5675702522334027E-4</v>
          </cell>
        </row>
        <row r="269">
          <cell r="A269" t="str">
            <v>T-Bat-Car-STG_S4</v>
          </cell>
          <cell r="B269" t="str">
            <v>VAR_fout</v>
          </cell>
          <cell r="C269" t="str">
            <v>T-ELC-car-BatSTGAUXout_S4</v>
          </cell>
          <cell r="H269">
            <v>16.36285675543153</v>
          </cell>
          <cell r="I269">
            <v>17.120974253425878</v>
          </cell>
          <cell r="J269">
            <v>15.950452351390378</v>
          </cell>
        </row>
        <row r="270">
          <cell r="A270" t="str">
            <v>T-Bat-Car-STG_S4</v>
          </cell>
          <cell r="B270" t="str">
            <v>VAR_fout</v>
          </cell>
          <cell r="C270" t="str">
            <v>T-ELC-car-BatSTGOut_S4</v>
          </cell>
          <cell r="H270">
            <v>16.36285675543153</v>
          </cell>
          <cell r="I270">
            <v>17.120974253425874</v>
          </cell>
          <cell r="J270">
            <v>15.950452351390378</v>
          </cell>
        </row>
        <row r="271">
          <cell r="A271" t="str">
            <v>T-Bat-Car-STG_S4</v>
          </cell>
          <cell r="B271" t="str">
            <v>VAR_fin</v>
          </cell>
          <cell r="C271" t="str">
            <v>T-ELC-car-BatSTGAUXin_S4</v>
          </cell>
          <cell r="H271">
            <v>16.364539323347216</v>
          </cell>
          <cell r="I271">
            <v>17.12272139496719</v>
          </cell>
          <cell r="J271">
            <v>15.952081260834564</v>
          </cell>
        </row>
        <row r="272">
          <cell r="A272" t="str">
            <v>T-Bat-Car-STG_S4</v>
          </cell>
          <cell r="B272" t="str">
            <v>VAR_fin</v>
          </cell>
          <cell r="C272" t="str">
            <v>T-ELC-car-BatSTGin_S4</v>
          </cell>
          <cell r="H272">
            <v>16.364539323347216</v>
          </cell>
          <cell r="I272">
            <v>17.12272139496719</v>
          </cell>
          <cell r="J272">
            <v>15.952081260834564</v>
          </cell>
        </row>
        <row r="273">
          <cell r="A273" t="str">
            <v>T-Bat-Car-STG_S4</v>
          </cell>
          <cell r="B273" t="str">
            <v>VAR_ncap</v>
          </cell>
          <cell r="C273" t="str">
            <v>-</v>
          </cell>
          <cell r="H273">
            <v>140.174246712729</v>
          </cell>
          <cell r="I273">
            <v>105.53840890883799</v>
          </cell>
          <cell r="J273">
            <v>281.33275618842498</v>
          </cell>
        </row>
        <row r="274">
          <cell r="A274" t="str">
            <v>T-Bat-Car-STG_S4</v>
          </cell>
          <cell r="B274" t="str">
            <v>VAR_cap</v>
          </cell>
          <cell r="C274" t="str">
            <v>-</v>
          </cell>
          <cell r="H274">
            <v>258.53544593557774</v>
          </cell>
          <cell r="I274">
            <v>270.94594219289439</v>
          </cell>
          <cell r="J274">
            <v>327.96428229719157</v>
          </cell>
        </row>
        <row r="275">
          <cell r="A275" t="str">
            <v>T_TW-ICEGSL-S3</v>
          </cell>
          <cell r="B275" t="str">
            <v>VAR_fout</v>
          </cell>
          <cell r="C275" t="str">
            <v>CO2_T</v>
          </cell>
          <cell r="H275">
            <v>1.2045308359529292</v>
          </cell>
          <cell r="I275">
            <v>0.2255575792104591</v>
          </cell>
          <cell r="J275">
            <v>3.9095586370762103E-2</v>
          </cell>
        </row>
        <row r="276">
          <cell r="A276" t="str">
            <v>T_TW-ICEGSL-S3</v>
          </cell>
          <cell r="B276" t="str">
            <v>VAR_fout</v>
          </cell>
          <cell r="C276" t="str">
            <v>TPTWL</v>
          </cell>
          <cell r="H276">
            <v>1.1952847981211856E-2</v>
          </cell>
          <cell r="I276">
            <v>2.2669528440807506E-3</v>
          </cell>
          <cell r="J276">
            <v>4.21034909880519E-4</v>
          </cell>
        </row>
        <row r="277">
          <cell r="A277" t="str">
            <v>T_TW-ICEGSL-S3</v>
          </cell>
          <cell r="B277" t="str">
            <v>VAR_fin</v>
          </cell>
          <cell r="C277" t="str">
            <v>TGSL</v>
          </cell>
          <cell r="H277">
            <v>1.6321556042722639E-2</v>
          </cell>
          <cell r="I277">
            <v>3.0563357616593344E-3</v>
          </cell>
          <cell r="J277">
            <v>5.2975049282875529E-4</v>
          </cell>
        </row>
        <row r="278">
          <cell r="A278" t="str">
            <v>T_TW-ICEGSL-S3</v>
          </cell>
          <cell r="B278" t="str">
            <v>VAR_ncap</v>
          </cell>
          <cell r="C278" t="str">
            <v>-</v>
          </cell>
          <cell r="H278">
            <v>7.1781202065846907E-5</v>
          </cell>
          <cell r="I278">
            <v>5.0054148038012301E-5</v>
          </cell>
          <cell r="J278">
            <v>4.3407852141554598E-5</v>
          </cell>
        </row>
        <row r="279">
          <cell r="A279" t="str">
            <v>T_TW-ICEGSL-S3</v>
          </cell>
          <cell r="B279" t="str">
            <v>VAR_cap</v>
          </cell>
          <cell r="C279" t="str">
            <v>-</v>
          </cell>
          <cell r="H279">
            <v>5.373570027664247E-3</v>
          </cell>
          <cell r="I279">
            <v>9.9444815086695802E-4</v>
          </cell>
          <cell r="J279">
            <v>1.7134726040333491E-4</v>
          </cell>
        </row>
        <row r="280">
          <cell r="A280" t="str">
            <v>T_C-ICEGSLEXT</v>
          </cell>
          <cell r="B280" t="str">
            <v>VAR_fout</v>
          </cell>
          <cell r="C280" t="str">
            <v>CO2_T</v>
          </cell>
        </row>
        <row r="281">
          <cell r="A281" t="str">
            <v>T_C-ICEGSLEXT</v>
          </cell>
          <cell r="B281" t="str">
            <v>VAR_fout</v>
          </cell>
          <cell r="C281" t="str">
            <v>TPCAR</v>
          </cell>
        </row>
        <row r="282">
          <cell r="A282" t="str">
            <v>T_C-ICEGSLEXT</v>
          </cell>
          <cell r="B282" t="str">
            <v>VAR_fin</v>
          </cell>
          <cell r="C282" t="str">
            <v>TGSL</v>
          </cell>
        </row>
        <row r="283">
          <cell r="A283" t="str">
            <v>T_C-ICEGSLEXT</v>
          </cell>
          <cell r="B283" t="str">
            <v>VAR_cap</v>
          </cell>
          <cell r="C283" t="str">
            <v>-</v>
          </cell>
        </row>
        <row r="284">
          <cell r="A284" t="str">
            <v>T_TW-ICEGSL-S4</v>
          </cell>
          <cell r="B284" t="str">
            <v>VAR_fout</v>
          </cell>
          <cell r="C284" t="str">
            <v>CO2_T</v>
          </cell>
          <cell r="H284">
            <v>0.58134926544679189</v>
          </cell>
          <cell r="I284">
            <v>0.40805450557096878</v>
          </cell>
          <cell r="J284">
            <v>6.6453836886780124E-2</v>
          </cell>
        </row>
        <row r="285">
          <cell r="A285" t="str">
            <v>T_TW-ICEGSL-S4</v>
          </cell>
          <cell r="B285" t="str">
            <v>VAR_fout</v>
          </cell>
          <cell r="C285" t="str">
            <v>TPTWL</v>
          </cell>
          <cell r="H285">
            <v>5.3448851169523538E-3</v>
          </cell>
          <cell r="I285">
            <v>3.7611960002421761E-3</v>
          </cell>
          <cell r="J285">
            <v>6.3394765929569122E-4</v>
          </cell>
        </row>
        <row r="286">
          <cell r="A286" t="str">
            <v>T_TW-ICEGSL-S4</v>
          </cell>
          <cell r="B286" t="str">
            <v>VAR_fin</v>
          </cell>
          <cell r="C286" t="str">
            <v>TGSL</v>
          </cell>
          <cell r="H286">
            <v>7.8773613204172303E-3</v>
          </cell>
          <cell r="I286">
            <v>5.5291938424250481E-3</v>
          </cell>
          <cell r="J286">
            <v>9.0045849440081448E-4</v>
          </cell>
        </row>
        <row r="287">
          <cell r="A287" t="str">
            <v>T_TW-ICEGSL-S4</v>
          </cell>
          <cell r="B287" t="str">
            <v>VAR_ncap</v>
          </cell>
          <cell r="C287" t="str">
            <v>-</v>
          </cell>
          <cell r="H287">
            <v>3.7812087588660401E-5</v>
          </cell>
          <cell r="I287">
            <v>2.9935616594862402E-5</v>
          </cell>
          <cell r="J287">
            <v>2.4834245674335801E-5</v>
          </cell>
        </row>
        <row r="288">
          <cell r="A288" t="str">
            <v>T_TW-ICEGSL-S4</v>
          </cell>
          <cell r="B288" t="str">
            <v>VAR_cap</v>
          </cell>
          <cell r="C288" t="str">
            <v>-</v>
          </cell>
          <cell r="H288">
            <v>2.279445670367003E-3</v>
          </cell>
          <cell r="I288">
            <v>1.6878828733062623E-3</v>
          </cell>
          <cell r="J288">
            <v>2.5789833500696217E-4</v>
          </cell>
        </row>
        <row r="289">
          <cell r="A289" t="str">
            <v>T_C-ICEDSLEXT</v>
          </cell>
          <cell r="B289" t="str">
            <v>VAR_fout</v>
          </cell>
          <cell r="C289" t="str">
            <v>CO2_T</v>
          </cell>
        </row>
        <row r="290">
          <cell r="A290" t="str">
            <v>T_C-ICEDSLEXT</v>
          </cell>
          <cell r="B290" t="str">
            <v>VAR_fout</v>
          </cell>
          <cell r="C290" t="str">
            <v>TPCAR</v>
          </cell>
        </row>
        <row r="291">
          <cell r="A291" t="str">
            <v>T_C-ICEDSLEXT</v>
          </cell>
          <cell r="B291" t="str">
            <v>VAR_fin</v>
          </cell>
          <cell r="C291" t="str">
            <v>TDSL</v>
          </cell>
        </row>
        <row r="292">
          <cell r="A292" t="str">
            <v>T_C-ICEDSLEXT</v>
          </cell>
          <cell r="B292" t="str">
            <v>VAR_cap</v>
          </cell>
          <cell r="C292" t="str">
            <v>-</v>
          </cell>
        </row>
        <row r="293">
          <cell r="A293" t="str">
            <v>T-Plg-ELC-GSL_S1</v>
          </cell>
          <cell r="B293" t="str">
            <v>VAR_fout</v>
          </cell>
          <cell r="C293" t="str">
            <v>T-PEVmix-ELC_GSL_S1</v>
          </cell>
          <cell r="H293">
            <v>1.8924283613236345E-3</v>
          </cell>
          <cell r="I293">
            <v>1.5405865977125759E-3</v>
          </cell>
          <cell r="J293">
            <v>3.855330173314694E-4</v>
          </cell>
        </row>
        <row r="294">
          <cell r="A294" t="str">
            <v>T-Plg-ELC-GSL_S1</v>
          </cell>
          <cell r="B294" t="str">
            <v>VAR_fin</v>
          </cell>
          <cell r="C294" t="str">
            <v>T-ELC-car-PlgSTGOut_S1</v>
          </cell>
          <cell r="H294">
            <v>1.0143451689061155E-3</v>
          </cell>
          <cell r="I294">
            <v>8.0534700353019251E-4</v>
          </cell>
          <cell r="J294">
            <v>1.8955416630656618E-4</v>
          </cell>
        </row>
        <row r="295">
          <cell r="A295" t="str">
            <v>T-Plg-ELC-GSL_S2</v>
          </cell>
          <cell r="B295" t="str">
            <v>VAR_fout</v>
          </cell>
          <cell r="C295" t="str">
            <v>T-PEVmix-ELC_GSL_S2</v>
          </cell>
          <cell r="H295">
            <v>9.9106065856400857E-3</v>
          </cell>
          <cell r="I295">
            <v>7.4448183688218469E-3</v>
          </cell>
          <cell r="J295">
            <v>2.822437346803687E-3</v>
          </cell>
        </row>
        <row r="296">
          <cell r="A296" t="str">
            <v>T-Plg-ELC-GSL_S2</v>
          </cell>
          <cell r="B296" t="str">
            <v>VAR_fin</v>
          </cell>
          <cell r="C296" t="str">
            <v>T-ELC-car-PlgSTGOut_S2</v>
          </cell>
          <cell r="H296">
            <v>6.3788142841557675E-3</v>
          </cell>
          <cell r="I296">
            <v>4.6320792156940302E-3</v>
          </cell>
          <cell r="J296">
            <v>1.6330472223809215E-3</v>
          </cell>
        </row>
        <row r="297">
          <cell r="A297" t="str">
            <v>T-Plg-ELC-DSL_S1</v>
          </cell>
          <cell r="B297" t="str">
            <v>VAR_fout</v>
          </cell>
          <cell r="C297" t="str">
            <v>T-PEVmix-ELC_DSL_S1</v>
          </cell>
          <cell r="H297">
            <v>1.9706619821437555E-3</v>
          </cell>
          <cell r="I297">
            <v>1.5948603290902271E-3</v>
          </cell>
          <cell r="J297">
            <v>3.8948073459227529E-4</v>
          </cell>
        </row>
        <row r="298">
          <cell r="A298" t="str">
            <v>T-Plg-ELC-DSL_S1</v>
          </cell>
          <cell r="B298" t="str">
            <v>VAR_fin</v>
          </cell>
          <cell r="C298" t="str">
            <v>T-ELC-car-PlgSTGOut_S1</v>
          </cell>
          <cell r="H298">
            <v>1.0562295324436297E-3</v>
          </cell>
          <cell r="I298">
            <v>8.3361877561700362E-4</v>
          </cell>
          <cell r="J298">
            <v>1.915152091909703E-4</v>
          </cell>
        </row>
        <row r="299">
          <cell r="A299" t="str">
            <v>T_TRM_ELC</v>
          </cell>
          <cell r="B299" t="str">
            <v>VAR_fout</v>
          </cell>
          <cell r="C299" t="str">
            <v>TPTRM</v>
          </cell>
          <cell r="H299">
            <v>3.9154487950248104E-2</v>
          </cell>
          <cell r="I299">
            <v>4.0020348033853431E-2</v>
          </cell>
          <cell r="J299">
            <v>4.1320967542566908E-2</v>
          </cell>
        </row>
        <row r="300">
          <cell r="A300" t="str">
            <v>T_TRM_ELC</v>
          </cell>
          <cell r="B300" t="str">
            <v>VAR_fin</v>
          </cell>
          <cell r="C300" t="str">
            <v>TELC</v>
          </cell>
          <cell r="H300">
            <v>0.77535793541680942</v>
          </cell>
          <cell r="I300">
            <v>0.79250415598894708</v>
          </cell>
          <cell r="J300">
            <v>0.81825971326555591</v>
          </cell>
        </row>
        <row r="301">
          <cell r="A301" t="str">
            <v>T-Plg-ELC-GSL_S3</v>
          </cell>
          <cell r="B301" t="str">
            <v>VAR_fout</v>
          </cell>
          <cell r="C301" t="str">
            <v>T-PEVmix-ELC_GSL_S3</v>
          </cell>
          <cell r="H301">
            <v>3.5289580784052701</v>
          </cell>
          <cell r="I301">
            <v>2.7210683514994654</v>
          </cell>
          <cell r="J301">
            <v>0.95507412158799676</v>
          </cell>
        </row>
        <row r="302">
          <cell r="A302" t="str">
            <v>T-Plg-ELC-GSL_S3</v>
          </cell>
          <cell r="B302" t="str">
            <v>VAR_fin</v>
          </cell>
          <cell r="C302" t="str">
            <v>T-ELC-car-PlgSTGOut_S3</v>
          </cell>
          <cell r="H302">
            <v>2.4000902101190165</v>
          </cell>
          <cell r="I302">
            <v>1.7672620374903532</v>
          </cell>
          <cell r="J302">
            <v>0.5635698255229078</v>
          </cell>
        </row>
        <row r="303">
          <cell r="A303" t="str">
            <v>T-Plg-ELC-DSL_S2</v>
          </cell>
          <cell r="B303" t="str">
            <v>VAR_fout</v>
          </cell>
          <cell r="C303" t="str">
            <v>T-PEVmix-ELC_DSL_S2</v>
          </cell>
          <cell r="H303">
            <v>8.1729017653488969E-3</v>
          </cell>
          <cell r="I303">
            <v>8.3368250023007733E-3</v>
          </cell>
          <cell r="J303">
            <v>3.1546104077150188E-3</v>
          </cell>
        </row>
        <row r="304">
          <cell r="A304" t="str">
            <v>T-Plg-ELC-DSL_S2</v>
          </cell>
          <cell r="B304" t="str">
            <v>VAR_fin</v>
          </cell>
          <cell r="C304" t="str">
            <v>T-ELC-car-PlgSTGOut_S2</v>
          </cell>
          <cell r="H304">
            <v>5.2678886454099131E-3</v>
          </cell>
          <cell r="I304">
            <v>5.1787261769494991E-3</v>
          </cell>
          <cell r="J304">
            <v>1.8224028717512115E-3</v>
          </cell>
        </row>
        <row r="305">
          <cell r="A305" t="str">
            <v>T_TW-ICEGSLEXT</v>
          </cell>
          <cell r="B305" t="str">
            <v>VAR_fout</v>
          </cell>
          <cell r="C305" t="str">
            <v>CO2_T</v>
          </cell>
        </row>
        <row r="306">
          <cell r="A306" t="str">
            <v>T_TW-ICEGSLEXT</v>
          </cell>
          <cell r="B306" t="str">
            <v>VAR_fout</v>
          </cell>
          <cell r="C306" t="str">
            <v>TPTWL</v>
          </cell>
        </row>
        <row r="307">
          <cell r="A307" t="str">
            <v>T_TW-ICEGSLEXT</v>
          </cell>
          <cell r="B307" t="str">
            <v>VAR_fin</v>
          </cell>
          <cell r="C307" t="str">
            <v>TGSL</v>
          </cell>
        </row>
        <row r="308">
          <cell r="A308" t="str">
            <v>T_TW-ICEGSLEXT</v>
          </cell>
          <cell r="B308" t="str">
            <v>VAR_cap</v>
          </cell>
          <cell r="C308" t="str">
            <v>-</v>
          </cell>
        </row>
        <row r="309">
          <cell r="A309" t="str">
            <v>T-Plg-ELC-GSL_S4</v>
          </cell>
          <cell r="B309" t="str">
            <v>VAR_fout</v>
          </cell>
          <cell r="C309" t="str">
            <v>T-PEVmix-ELC_GSL_S4</v>
          </cell>
          <cell r="H309">
            <v>1.5240374975050822E-2</v>
          </cell>
          <cell r="I309">
            <v>5.3979520539235003E-3</v>
          </cell>
          <cell r="J309">
            <v>1.7223860938580637E-3</v>
          </cell>
        </row>
        <row r="310">
          <cell r="A310" t="str">
            <v>T-Plg-ELC-GSL_S4</v>
          </cell>
          <cell r="B310" t="str">
            <v>VAR_fin</v>
          </cell>
          <cell r="C310" t="str">
            <v>T-ELC-car-PlgSTGOut_S4</v>
          </cell>
          <cell r="H310">
            <v>1.1021740027279802E-2</v>
          </cell>
          <cell r="I310">
            <v>3.8062508277361016E-3</v>
          </cell>
          <cell r="J310">
            <v>1.137775407369984E-3</v>
          </cell>
        </row>
        <row r="311">
          <cell r="A311" t="str">
            <v>T-Plg-ELC-DSL_S3</v>
          </cell>
          <cell r="B311" t="str">
            <v>VAR_fout</v>
          </cell>
          <cell r="C311" t="str">
            <v>T-PEVmix-ELC_DSL_S3</v>
          </cell>
          <cell r="H311">
            <v>2.8001075713444443</v>
          </cell>
          <cell r="I311">
            <v>1.9505519300573104</v>
          </cell>
          <cell r="J311">
            <v>0.6644300129302082</v>
          </cell>
        </row>
        <row r="312">
          <cell r="A312" t="str">
            <v>T-Plg-ELC-DSL_S3</v>
          </cell>
          <cell r="B312" t="str">
            <v>VAR_fin</v>
          </cell>
          <cell r="C312" t="str">
            <v>T-ELC-car-PlgSTGOut_S3</v>
          </cell>
          <cell r="H312">
            <v>1.9044728941405966</v>
          </cell>
          <cell r="I312">
            <v>1.2669548792922907</v>
          </cell>
          <cell r="J312">
            <v>0.39227223894091767</v>
          </cell>
        </row>
        <row r="313">
          <cell r="A313" t="str">
            <v>T-Plg-ELC-DSL_S4</v>
          </cell>
          <cell r="B313" t="str">
            <v>VAR_fout</v>
          </cell>
          <cell r="C313" t="str">
            <v>T-PEVmix-ELC_DSL_S4</v>
          </cell>
          <cell r="H313">
            <v>9.8299593823880319E-3</v>
          </cell>
          <cell r="I313">
            <v>5.9857443351771893E-3</v>
          </cell>
          <cell r="J313">
            <v>1.8580909128256974E-3</v>
          </cell>
        </row>
        <row r="314">
          <cell r="A314" t="str">
            <v>T-Plg-ELC-DSL_S4</v>
          </cell>
          <cell r="B314" t="str">
            <v>VAR_fin</v>
          </cell>
          <cell r="C314" t="str">
            <v>T-ELC-car-PlgSTGOut_S4</v>
          </cell>
          <cell r="H314">
            <v>7.1343865341717532E-3</v>
          </cell>
          <cell r="I314">
            <v>4.2163273269200073E-3</v>
          </cell>
          <cell r="J314">
            <v>1.2260825707428188E-3</v>
          </cell>
        </row>
        <row r="315">
          <cell r="A315" t="str">
            <v>TFLGV-ICENGA</v>
          </cell>
          <cell r="B315" t="str">
            <v>VAR_fout</v>
          </cell>
          <cell r="C315" t="str">
            <v>CO2_T</v>
          </cell>
          <cell r="H315">
            <v>0.15821391505625079</v>
          </cell>
          <cell r="I315">
            <v>2.0582419907524799E-2</v>
          </cell>
        </row>
        <row r="316">
          <cell r="A316" t="str">
            <v>TFLGV-ICENGA</v>
          </cell>
          <cell r="B316" t="str">
            <v>VAR_fout</v>
          </cell>
          <cell r="C316" t="str">
            <v>TFLGV</v>
          </cell>
          <cell r="H316">
            <v>8.9928600649332672E-4</v>
          </cell>
          <cell r="I316">
            <v>1.1699022931090417E-4</v>
          </cell>
        </row>
        <row r="317">
          <cell r="A317" t="str">
            <v>TFLGV-ICENGA</v>
          </cell>
          <cell r="B317" t="str">
            <v>VAR_fin</v>
          </cell>
          <cell r="C317" t="str">
            <v>TNGA</v>
          </cell>
          <cell r="H317">
            <v>2.8052112598626103E-3</v>
          </cell>
          <cell r="I317">
            <v>3.6493652318306431E-4</v>
          </cell>
        </row>
        <row r="318">
          <cell r="A318" t="str">
            <v>TFLGV-ICENGA</v>
          </cell>
          <cell r="B318" t="str">
            <v>VAR_ncap</v>
          </cell>
          <cell r="C318" t="str">
            <v>-</v>
          </cell>
        </row>
        <row r="319">
          <cell r="A319" t="str">
            <v>TFLGV-ICENGA</v>
          </cell>
          <cell r="B319" t="str">
            <v>VAR_cap</v>
          </cell>
          <cell r="C319" t="str">
            <v>-</v>
          </cell>
          <cell r="H319">
            <v>6.8331349649289712E-5</v>
          </cell>
          <cell r="I319">
            <v>1.0308993622955029E-5</v>
          </cell>
        </row>
        <row r="320">
          <cell r="A320" t="str">
            <v>TFLGV-BEVELC</v>
          </cell>
          <cell r="B320" t="str">
            <v>VAR_fout</v>
          </cell>
          <cell r="C320" t="str">
            <v>TFLGV</v>
          </cell>
          <cell r="H320">
            <v>3.9778571713217423</v>
          </cell>
          <cell r="I320">
            <v>4.9246840841373301</v>
          </cell>
          <cell r="J320">
            <v>5.4400017525775759</v>
          </cell>
        </row>
        <row r="321">
          <cell r="A321" t="str">
            <v>TFLGV-BEVELC</v>
          </cell>
          <cell r="B321" t="str">
            <v>VAR_fin</v>
          </cell>
          <cell r="C321" t="str">
            <v>T-ELC-LGV_BatSTGout</v>
          </cell>
          <cell r="H321">
            <v>5.8381345518647692</v>
          </cell>
          <cell r="I321">
            <v>7.2277528001508058</v>
          </cell>
          <cell r="J321">
            <v>7.9840629831802579</v>
          </cell>
        </row>
        <row r="322">
          <cell r="A322" t="str">
            <v>TFLGV-BEVELC</v>
          </cell>
          <cell r="B322" t="str">
            <v>VAR_ncap</v>
          </cell>
          <cell r="C322" t="str">
            <v>-</v>
          </cell>
          <cell r="H322">
            <v>0.24247418871715501</v>
          </cell>
          <cell r="I322">
            <v>0.19636089420275399</v>
          </cell>
          <cell r="J322">
            <v>0.36673509708518498</v>
          </cell>
        </row>
        <row r="323">
          <cell r="A323" t="str">
            <v>TFLGV-BEVELC</v>
          </cell>
          <cell r="B323" t="str">
            <v>VAR_cap</v>
          </cell>
          <cell r="C323" t="str">
            <v>-</v>
          </cell>
          <cell r="H323">
            <v>0.35756759577157943</v>
          </cell>
          <cell r="I323">
            <v>0.45903236643119516</v>
          </cell>
          <cell r="J323">
            <v>0.50776255882000498</v>
          </cell>
        </row>
        <row r="324">
          <cell r="A324" t="str">
            <v>T_B_c-BEVELC-S1</v>
          </cell>
          <cell r="B324" t="str">
            <v>VAR_fout</v>
          </cell>
          <cell r="C324" t="str">
            <v>TPBSc</v>
          </cell>
          <cell r="H324">
            <v>5.8770410748155678E-2</v>
          </cell>
          <cell r="I324">
            <v>5.7935457387572518E-2</v>
          </cell>
          <cell r="J324">
            <v>5.9503474796822289E-2</v>
          </cell>
        </row>
        <row r="325">
          <cell r="A325" t="str">
            <v>T_B_c-BEVELC-S1</v>
          </cell>
          <cell r="B325" t="str">
            <v>VAR_fin</v>
          </cell>
          <cell r="C325" t="str">
            <v>T-ELC-Bus_c_BatSTGout_S1</v>
          </cell>
          <cell r="H325">
            <v>0.1251217322672972</v>
          </cell>
          <cell r="I325">
            <v>0.1227790341470979</v>
          </cell>
          <cell r="J325">
            <v>0.11262613333267137</v>
          </cell>
        </row>
        <row r="326">
          <cell r="A326" t="str">
            <v>T_B_c-BEVELC-S1</v>
          </cell>
          <cell r="B326" t="str">
            <v>VAR_ncap</v>
          </cell>
          <cell r="C326" t="str">
            <v>-</v>
          </cell>
          <cell r="H326">
            <v>1.21044282707303E-3</v>
          </cell>
          <cell r="I326">
            <v>4.6298935237354299E-5</v>
          </cell>
          <cell r="J326">
            <v>1.0576150059814001E-3</v>
          </cell>
        </row>
        <row r="327">
          <cell r="A327" t="str">
            <v>T_B_c-BEVELC-S1</v>
          </cell>
          <cell r="B327" t="str">
            <v>VAR_cap</v>
          </cell>
          <cell r="C327" t="str">
            <v>-</v>
          </cell>
          <cell r="H327">
            <v>1.2787203943931209E-3</v>
          </cell>
          <cell r="I327">
            <v>1.2598403898631981E-3</v>
          </cell>
          <cell r="J327">
            <v>1.2932164950496009E-3</v>
          </cell>
        </row>
        <row r="328">
          <cell r="A328" t="str">
            <v>T_B_c-BEVELC-S2</v>
          </cell>
          <cell r="B328" t="str">
            <v>VAR_fout</v>
          </cell>
          <cell r="C328" t="str">
            <v>TPBSc</v>
          </cell>
          <cell r="H328">
            <v>3.0599205734717642E-2</v>
          </cell>
          <cell r="I328">
            <v>5.71887589626216E-2</v>
          </cell>
          <cell r="J328">
            <v>5.5922915771070419E-2</v>
          </cell>
        </row>
        <row r="329">
          <cell r="A329" t="str">
            <v>T_B_c-BEVELC-S2</v>
          </cell>
          <cell r="B329" t="str">
            <v>VAR_fin</v>
          </cell>
          <cell r="C329" t="str">
            <v>T-ELC-Bus_c_BatSTGout_S2</v>
          </cell>
          <cell r="H329">
            <v>8.989504461596437E-2</v>
          </cell>
          <cell r="I329">
            <v>0.16368980593930815</v>
          </cell>
          <cell r="J329">
            <v>0.14783564239855584</v>
          </cell>
        </row>
        <row r="330">
          <cell r="A330" t="str">
            <v>T_B_c-BEVELC-S2</v>
          </cell>
          <cell r="B330" t="str">
            <v>VAR_ncap</v>
          </cell>
          <cell r="C330" t="str">
            <v>-</v>
          </cell>
          <cell r="H330">
            <v>6.31358838843304E-4</v>
          </cell>
          <cell r="I330">
            <v>6.0601150853319499E-4</v>
          </cell>
          <cell r="J330">
            <v>8.0056825339420903E-4</v>
          </cell>
        </row>
        <row r="331">
          <cell r="A331" t="str">
            <v>T_B_c-BEVELC-S2</v>
          </cell>
          <cell r="B331" t="str">
            <v>VAR_cap</v>
          </cell>
          <cell r="C331" t="str">
            <v>-</v>
          </cell>
          <cell r="H331">
            <v>6.6565577026516797E-4</v>
          </cell>
          <cell r="I331">
            <v>1.2431147244231131E-3</v>
          </cell>
          <cell r="J331">
            <v>1.2152775292625072E-3</v>
          </cell>
        </row>
        <row r="332">
          <cell r="A332" t="str">
            <v>T_B_c-BEVELC-S3</v>
          </cell>
          <cell r="B332" t="str">
            <v>VAR_fout</v>
          </cell>
          <cell r="C332" t="str">
            <v>TPBSc</v>
          </cell>
          <cell r="H332">
            <v>6.1162447717868704E-3</v>
          </cell>
          <cell r="I332">
            <v>1.2130654931089958E-2</v>
          </cell>
          <cell r="J332">
            <v>1.1954220403427994E-2</v>
          </cell>
        </row>
        <row r="333">
          <cell r="A333" t="str">
            <v>T_B_c-BEVELC-S3</v>
          </cell>
          <cell r="B333" t="str">
            <v>VAR_fin</v>
          </cell>
          <cell r="C333" t="str">
            <v>T-ELC-Bus_c_BatSTGout_S3</v>
          </cell>
          <cell r="H333">
            <v>2.6915941608351535E-2</v>
          </cell>
          <cell r="I333">
            <v>5.200295278148713E-2</v>
          </cell>
          <cell r="J333">
            <v>4.6379618280168351E-2</v>
          </cell>
        </row>
        <row r="334">
          <cell r="A334" t="str">
            <v>T_B_c-BEVELC-S3</v>
          </cell>
          <cell r="B334" t="str">
            <v>VAR_ncap</v>
          </cell>
          <cell r="C334" t="str">
            <v>-</v>
          </cell>
          <cell r="H334">
            <v>1.29642665130721E-4</v>
          </cell>
          <cell r="I334">
            <v>1.3414858102339501E-4</v>
          </cell>
          <cell r="J334">
            <v>2.13870096694155E-4</v>
          </cell>
        </row>
        <row r="335">
          <cell r="A335" t="str">
            <v>T_B_c-BEVELC-S3</v>
          </cell>
          <cell r="B335" t="str">
            <v>VAR_cap</v>
          </cell>
          <cell r="C335" t="str">
            <v>-</v>
          </cell>
          <cell r="H335">
            <v>1.3316551790043901E-4</v>
          </cell>
          <cell r="I335">
            <v>2.6378070656575791E-4</v>
          </cell>
          <cell r="J335">
            <v>2.5981883591527199E-4</v>
          </cell>
        </row>
        <row r="336">
          <cell r="A336" t="str">
            <v>T_B_c-BEVELC-S4</v>
          </cell>
          <cell r="B336" t="str">
            <v>VAR_fout</v>
          </cell>
          <cell r="C336" t="str">
            <v>TPBSc</v>
          </cell>
          <cell r="H336">
            <v>3.8482194217455231E-5</v>
          </cell>
          <cell r="I336">
            <v>5.3188194764939622E-5</v>
          </cell>
          <cell r="J336">
            <v>2.2565135000336781E-5</v>
          </cell>
        </row>
        <row r="337">
          <cell r="A337" t="str">
            <v>T_B_c-BEVELC-S4</v>
          </cell>
          <cell r="B337" t="str">
            <v>VAR_fin</v>
          </cell>
          <cell r="C337" t="str">
            <v>T-ELC-Bus_c_BatSTGout_S4</v>
          </cell>
          <cell r="H337">
            <v>2.5502334986934725E-4</v>
          </cell>
          <cell r="I337">
            <v>3.3814100826012888E-4</v>
          </cell>
          <cell r="J337">
            <v>1.3210617919726035E-4</v>
          </cell>
        </row>
        <row r="338">
          <cell r="A338" t="str">
            <v>T_B_c-BEVELC-S4</v>
          </cell>
          <cell r="B338" t="str">
            <v>VAR_ncap</v>
          </cell>
          <cell r="C338" t="str">
            <v>-</v>
          </cell>
          <cell r="H338">
            <v>8.3879394007762004E-7</v>
          </cell>
          <cell r="I338">
            <v>8.7109420413220401E-7</v>
          </cell>
          <cell r="J338">
            <v>3.6173365120347998E-7</v>
          </cell>
        </row>
        <row r="339">
          <cell r="A339" t="str">
            <v>T_B_c-BEVELC-S4</v>
          </cell>
          <cell r="B339" t="str">
            <v>VAR_cap</v>
          </cell>
          <cell r="C339" t="str">
            <v>-</v>
          </cell>
          <cell r="H339">
            <v>9.7770235165064108E-7</v>
          </cell>
          <cell r="I339">
            <v>1.2750319120329981E-6</v>
          </cell>
          <cell r="J339">
            <v>5.14600785195902E-7</v>
          </cell>
        </row>
        <row r="340">
          <cell r="A340" t="str">
            <v>T_C-BAT-ELC-S1</v>
          </cell>
          <cell r="B340" t="str">
            <v>VAR_fout</v>
          </cell>
          <cell r="C340" t="str">
            <v>TPCAR</v>
          </cell>
          <cell r="H340">
            <v>1.9147381263725325</v>
          </cell>
          <cell r="I340">
            <v>2.363017409302139</v>
          </cell>
          <cell r="J340">
            <v>2.4996615778408038</v>
          </cell>
        </row>
        <row r="341">
          <cell r="A341" t="str">
            <v>T_C-BAT-ELC-S1</v>
          </cell>
          <cell r="B341" t="str">
            <v>VAR_fin</v>
          </cell>
          <cell r="C341" t="str">
            <v>T-ELC-car-BatSTGOut_S1</v>
          </cell>
          <cell r="H341">
            <v>1.0213780221808979</v>
          </cell>
          <cell r="I341">
            <v>1.2273327178096396</v>
          </cell>
          <cell r="J341">
            <v>1.1825162531703048</v>
          </cell>
        </row>
        <row r="342">
          <cell r="A342" t="str">
            <v>T_C-BAT-ELC-S1</v>
          </cell>
          <cell r="B342" t="str">
            <v>VAR_ncap</v>
          </cell>
          <cell r="C342" t="str">
            <v>-</v>
          </cell>
          <cell r="H342">
            <v>0.208380873951095</v>
          </cell>
          <cell r="I342">
            <v>0.144536168798753</v>
          </cell>
          <cell r="J342">
            <v>0.29851078141436699</v>
          </cell>
        </row>
        <row r="343">
          <cell r="A343" t="str">
            <v>T_C-BAT-ELC-S1</v>
          </cell>
          <cell r="B343" t="str">
            <v>VAR_cap</v>
          </cell>
          <cell r="C343" t="str">
            <v>-</v>
          </cell>
          <cell r="H343">
            <v>0.29096028208053071</v>
          </cell>
          <cell r="I343">
            <v>0.35910379784737706</v>
          </cell>
          <cell r="J343">
            <v>0.37988058228066729</v>
          </cell>
        </row>
        <row r="344">
          <cell r="A344" t="str">
            <v>D-TNGA</v>
          </cell>
          <cell r="B344" t="str">
            <v>VAR_fout</v>
          </cell>
          <cell r="C344" t="str">
            <v>CO2</v>
          </cell>
          <cell r="H344">
            <v>3.7133564960044598</v>
          </cell>
          <cell r="I344">
            <v>1.7185131559390601</v>
          </cell>
          <cell r="J344">
            <v>0.10137506878406401</v>
          </cell>
        </row>
        <row r="345">
          <cell r="A345" t="str">
            <v>D-TNGA</v>
          </cell>
          <cell r="B345" t="str">
            <v>VAR_fout</v>
          </cell>
          <cell r="C345" t="str">
            <v>TNGA</v>
          </cell>
          <cell r="H345">
            <v>8.3209243540648403E-2</v>
          </cell>
          <cell r="I345">
            <v>4.3355353170703E-2</v>
          </cell>
          <cell r="J345">
            <v>3.4713716648520736E-3</v>
          </cell>
        </row>
        <row r="346">
          <cell r="A346" t="str">
            <v>D-TNGA</v>
          </cell>
          <cell r="B346" t="str">
            <v>VAR_fin</v>
          </cell>
          <cell r="C346" t="str">
            <v>NGA</v>
          </cell>
          <cell r="H346">
            <v>6.5839654184476154E-2</v>
          </cell>
          <cell r="I346">
            <v>3.0470091417359305E-2</v>
          </cell>
          <cell r="J346">
            <v>1.7974302975897788E-3</v>
          </cell>
        </row>
        <row r="347">
          <cell r="A347" t="str">
            <v>D-TNGA</v>
          </cell>
          <cell r="B347" t="str">
            <v>VAR_fin</v>
          </cell>
          <cell r="C347" t="str">
            <v>BNGA</v>
          </cell>
          <cell r="H347">
            <v>1.7765248649369125E-2</v>
          </cell>
          <cell r="I347">
            <v>1.2777839250417691E-2</v>
          </cell>
          <cell r="J347">
            <v>1.7813397040877419E-3</v>
          </cell>
        </row>
        <row r="348">
          <cell r="A348" t="str">
            <v>D-TNGA</v>
          </cell>
          <cell r="B348" t="str">
            <v>VAR_fin</v>
          </cell>
          <cell r="C348" t="str">
            <v>H2</v>
          </cell>
          <cell r="H348">
            <v>2.5237732602682855E-4</v>
          </cell>
          <cell r="I348">
            <v>8.0167373341107951E-4</v>
          </cell>
          <cell r="J348">
            <v>6.5045187251467436E-5</v>
          </cell>
        </row>
        <row r="349">
          <cell r="A349" t="str">
            <v>D-TNGA</v>
          </cell>
          <cell r="B349" t="str">
            <v>VAR_ncap</v>
          </cell>
          <cell r="C349" t="str">
            <v>-</v>
          </cell>
          <cell r="H349">
            <v>4.2109368747198402E-7</v>
          </cell>
          <cell r="I349">
            <v>5.4409687526868097E-7</v>
          </cell>
          <cell r="J349">
            <v>9.1055410645386405E-7</v>
          </cell>
        </row>
        <row r="350">
          <cell r="A350" t="str">
            <v>D-TNGA</v>
          </cell>
          <cell r="B350" t="str">
            <v>VAR_cap</v>
          </cell>
          <cell r="C350" t="str">
            <v>-</v>
          </cell>
          <cell r="H350">
            <v>0.95961960790097589</v>
          </cell>
          <cell r="I350">
            <v>0.95962015199785122</v>
          </cell>
          <cell r="J350">
            <v>0.48125671890590166</v>
          </cell>
        </row>
        <row r="351">
          <cell r="A351" t="str">
            <v>T_C-BAT-ELC-S2</v>
          </cell>
          <cell r="B351" t="str">
            <v>VAR_fout</v>
          </cell>
          <cell r="C351" t="str">
            <v>TPCAR</v>
          </cell>
          <cell r="H351">
            <v>16.312071970154044</v>
          </cell>
          <cell r="I351">
            <v>18.577818352150643</v>
          </cell>
          <cell r="J351">
            <v>18.431432752921566</v>
          </cell>
        </row>
        <row r="352">
          <cell r="A352" t="str">
            <v>T_C-BAT-ELC-S2</v>
          </cell>
          <cell r="B352" t="str">
            <v>VAR_fin</v>
          </cell>
          <cell r="C352" t="str">
            <v>T-ELC-car-BatSTGOut_S2</v>
          </cell>
          <cell r="H352">
            <v>10.735025878917014</v>
          </cell>
          <cell r="I352">
            <v>11.924879143383112</v>
          </cell>
          <cell r="J352">
            <v>10.732592873079064</v>
          </cell>
        </row>
        <row r="353">
          <cell r="A353" t="str">
            <v>T_C-BAT-ELC-S2</v>
          </cell>
          <cell r="B353" t="str">
            <v>VAR_ncap</v>
          </cell>
          <cell r="C353" t="str">
            <v>-</v>
          </cell>
          <cell r="H353">
            <v>1.22695893980614</v>
          </cell>
          <cell r="I353">
            <v>0.71264709497831602</v>
          </cell>
          <cell r="J353">
            <v>1.4966889311762901</v>
          </cell>
        </row>
        <row r="354">
          <cell r="A354" t="str">
            <v>T_C-BAT-ELC-S2</v>
          </cell>
          <cell r="B354" t="str">
            <v>VAR_cap</v>
          </cell>
          <cell r="C354" t="str">
            <v>-</v>
          </cell>
          <cell r="H354">
            <v>1.6686913488430473</v>
          </cell>
          <cell r="I354">
            <v>1.9593614112613407</v>
          </cell>
          <cell r="J354">
            <v>1.9440544912512889</v>
          </cell>
        </row>
        <row r="355">
          <cell r="A355" t="str">
            <v>TFLGV-BeVELCExt</v>
          </cell>
          <cell r="B355" t="str">
            <v>VAR_fout</v>
          </cell>
          <cell r="C355" t="str">
            <v>TFLGV</v>
          </cell>
        </row>
        <row r="356">
          <cell r="A356" t="str">
            <v>TFLGV-BeVELCExt</v>
          </cell>
          <cell r="B356" t="str">
            <v>VAR_fin</v>
          </cell>
          <cell r="C356" t="str">
            <v>TELC</v>
          </cell>
        </row>
        <row r="357">
          <cell r="A357" t="str">
            <v>TFLGV-BeVELCExt</v>
          </cell>
          <cell r="B357" t="str">
            <v>VAR_cap</v>
          </cell>
          <cell r="C357" t="str">
            <v>-</v>
          </cell>
        </row>
        <row r="358">
          <cell r="A358" t="str">
            <v>T_C-BAT-ELC-S3</v>
          </cell>
          <cell r="B358" t="str">
            <v>VAR_fout</v>
          </cell>
          <cell r="C358" t="str">
            <v>TPCAR</v>
          </cell>
          <cell r="H358">
            <v>1.6195522638173767</v>
          </cell>
          <cell r="I358">
            <v>9.4147775698104574</v>
          </cell>
          <cell r="J358">
            <v>15.002938610747517</v>
          </cell>
        </row>
        <row r="359">
          <cell r="A359" t="str">
            <v>T_C-BAT-ELC-S3</v>
          </cell>
          <cell r="B359" t="str">
            <v>VAR_fin</v>
          </cell>
          <cell r="C359" t="str">
            <v>T-ELC-car-BatSTGOut_S3</v>
          </cell>
          <cell r="H359">
            <v>1.1693271467343054</v>
          </cell>
          <cell r="I359">
            <v>6.3953730122904728</v>
          </cell>
          <cell r="J359">
            <v>9.4449124493742573</v>
          </cell>
        </row>
        <row r="360">
          <cell r="A360" t="str">
            <v>T_C-BAT-ELC-S3</v>
          </cell>
          <cell r="B360" t="str">
            <v>VAR_ncap</v>
          </cell>
          <cell r="C360" t="str">
            <v>-</v>
          </cell>
          <cell r="H360">
            <v>7.6778200997328794E-2</v>
          </cell>
          <cell r="I360">
            <v>0.60115567924397495</v>
          </cell>
          <cell r="J360">
            <v>0.83005982955948598</v>
          </cell>
        </row>
        <row r="361">
          <cell r="A361" t="str">
            <v>T_C-BAT-ELC-S3</v>
          </cell>
          <cell r="B361" t="str">
            <v>VAR_cap</v>
          </cell>
          <cell r="C361" t="str">
            <v>-</v>
          </cell>
          <cell r="H361">
            <v>0.11141336978867357</v>
          </cell>
          <cell r="I361">
            <v>0.64737631302315235</v>
          </cell>
          <cell r="J361">
            <v>1.0316001168571862</v>
          </cell>
        </row>
        <row r="362">
          <cell r="A362" t="str">
            <v>T_C-BAT-ELC-S4</v>
          </cell>
          <cell r="B362" t="str">
            <v>VAR_fout</v>
          </cell>
          <cell r="C362" t="str">
            <v>TPCAR</v>
          </cell>
          <cell r="H362">
            <v>21.719049054289247</v>
          </cell>
          <cell r="I362">
            <v>23.198647513133558</v>
          </cell>
          <cell r="J362">
            <v>24.084661078419359</v>
          </cell>
        </row>
        <row r="363">
          <cell r="A363" t="str">
            <v>T_C-BAT-ELC-S4</v>
          </cell>
          <cell r="B363" t="str">
            <v>VAR_fin</v>
          </cell>
          <cell r="C363" t="str">
            <v>T-ELC-car-BatSTGOut_S4</v>
          </cell>
          <cell r="H363">
            <v>16.347133525790994</v>
          </cell>
          <cell r="I363">
            <v>16.929963393255576</v>
          </cell>
          <cell r="J363">
            <v>15.775556426151118</v>
          </cell>
        </row>
        <row r="364">
          <cell r="A364" t="str">
            <v>T_C-BAT-ELC-S4</v>
          </cell>
          <cell r="B364" t="str">
            <v>VAR_ncap</v>
          </cell>
          <cell r="C364" t="str">
            <v>-</v>
          </cell>
          <cell r="H364">
            <v>0.93740258058152504</v>
          </cell>
          <cell r="I364">
            <v>0.724794761921567</v>
          </cell>
          <cell r="J364">
            <v>2.0417220386266002</v>
          </cell>
        </row>
        <row r="365">
          <cell r="A365" t="str">
            <v>T_C-BAT-ELC-S4</v>
          </cell>
          <cell r="B365" t="str">
            <v>VAR_cap</v>
          </cell>
          <cell r="C365" t="str">
            <v>-</v>
          </cell>
          <cell r="H365">
            <v>1.7103509827865713</v>
          </cell>
          <cell r="I365">
            <v>1.8269536828825625</v>
          </cell>
          <cell r="J365">
            <v>2.3430818564723404</v>
          </cell>
        </row>
        <row r="366">
          <cell r="A366" t="str">
            <v>T_B_c-ICENGA-S1</v>
          </cell>
          <cell r="B366" t="str">
            <v>VAR_fout</v>
          </cell>
          <cell r="C366" t="str">
            <v>CO2_T</v>
          </cell>
          <cell r="H366">
            <v>4.379161325323238E-2</v>
          </cell>
          <cell r="I366">
            <v>4.6533895157834501E-2</v>
          </cell>
          <cell r="J366">
            <v>2.6631814091484501E-3</v>
          </cell>
        </row>
        <row r="367">
          <cell r="A367" t="str">
            <v>T_B_c-ICENGA-S1</v>
          </cell>
          <cell r="B367" t="str">
            <v>VAR_fout</v>
          </cell>
          <cell r="C367" t="str">
            <v>TPBSc</v>
          </cell>
          <cell r="H367">
            <v>1.0882614246187985E-4</v>
          </cell>
          <cell r="I367">
            <v>1.224247909599654E-4</v>
          </cell>
          <cell r="J367">
            <v>7.0188257281281559E-6</v>
          </cell>
        </row>
        <row r="368">
          <cell r="A368" t="str">
            <v>T_B_c-ICENGA-S1</v>
          </cell>
          <cell r="B368" t="str">
            <v>VAR_fin</v>
          </cell>
          <cell r="C368" t="str">
            <v>TNGA</v>
          </cell>
          <cell r="H368">
            <v>7.7644704349702802E-4</v>
          </cell>
          <cell r="I368">
            <v>8.2506906308217175E-4</v>
          </cell>
          <cell r="J368">
            <v>4.7219528531000984E-5</v>
          </cell>
        </row>
        <row r="369">
          <cell r="A369" t="str">
            <v>T_B_c-ICENGA-S1</v>
          </cell>
          <cell r="B369" t="str">
            <v>VAR_ncap</v>
          </cell>
          <cell r="C369" t="str">
            <v>-</v>
          </cell>
          <cell r="H369">
            <v>1.4358152595136201E-6</v>
          </cell>
          <cell r="I369">
            <v>1.3608766899543601E-6</v>
          </cell>
        </row>
        <row r="370">
          <cell r="A370" t="str">
            <v>T_B_c-ICENGA-S1</v>
          </cell>
          <cell r="B370" t="str">
            <v>VAR_cap</v>
          </cell>
          <cell r="C370" t="str">
            <v>-</v>
          </cell>
          <cell r="H370">
            <v>2.5292345739590999E-6</v>
          </cell>
          <cell r="I370">
            <v>2.9123179096617556E-6</v>
          </cell>
          <cell r="J370">
            <v>1.5591257948326402E-7</v>
          </cell>
        </row>
        <row r="371">
          <cell r="A371" t="str">
            <v>TFLGV-FCLH2O</v>
          </cell>
          <cell r="B371" t="str">
            <v>VAR_fout</v>
          </cell>
          <cell r="C371" t="str">
            <v>TFLGV</v>
          </cell>
          <cell r="H371">
            <v>2.3268016392878657E-5</v>
          </cell>
          <cell r="I371">
            <v>2.1658507890802265E-5</v>
          </cell>
          <cell r="J371">
            <v>1.8364592538655402E-5</v>
          </cell>
        </row>
        <row r="372">
          <cell r="A372" t="str">
            <v>TFLGV-FCLH2O</v>
          </cell>
          <cell r="B372" t="str">
            <v>VAR_fin</v>
          </cell>
          <cell r="C372" t="str">
            <v>TH2O</v>
          </cell>
          <cell r="H372">
            <v>4.3937895850856499E-5</v>
          </cell>
          <cell r="I372">
            <v>3.8434867823720456E-5</v>
          </cell>
          <cell r="J372">
            <v>3.1071960127684729E-5</v>
          </cell>
        </row>
        <row r="373">
          <cell r="A373" t="str">
            <v>TFLGV-FCLH2O</v>
          </cell>
          <cell r="B373" t="str">
            <v>VAR_ncap</v>
          </cell>
          <cell r="C373" t="str">
            <v>-</v>
          </cell>
          <cell r="H373">
            <v>6.1726233533807897E-7</v>
          </cell>
          <cell r="I373">
            <v>7.1344250224729904E-7</v>
          </cell>
          <cell r="J373">
            <v>7.8346945149299396E-7</v>
          </cell>
        </row>
        <row r="374">
          <cell r="A374" t="str">
            <v>TFLGV-FCLH2O</v>
          </cell>
          <cell r="B374" t="str">
            <v>VAR_cap</v>
          </cell>
          <cell r="C374" t="str">
            <v>-</v>
          </cell>
          <cell r="H374">
            <v>1.3500945957226199E-6</v>
          </cell>
          <cell r="I374">
            <v>1.2617398713729571E-6</v>
          </cell>
          <cell r="J374">
            <v>1.24958716594647E-6</v>
          </cell>
        </row>
        <row r="375">
          <cell r="A375" t="str">
            <v>T_B_c-ICENGA-S2</v>
          </cell>
          <cell r="B375" t="str">
            <v>VAR_fout</v>
          </cell>
          <cell r="C375" t="str">
            <v>CO2_T</v>
          </cell>
          <cell r="H375">
            <v>6.7442696439666605E-2</v>
          </cell>
          <cell r="I375">
            <v>4.0307631010556136E-2</v>
          </cell>
          <cell r="J375">
            <v>4.9175167250942696E-3</v>
          </cell>
        </row>
        <row r="376">
          <cell r="A376" t="str">
            <v>T_B_c-ICENGA-S2</v>
          </cell>
          <cell r="B376" t="str">
            <v>VAR_fout</v>
          </cell>
          <cell r="C376" t="str">
            <v>TPBSc</v>
          </cell>
          <cell r="H376">
            <v>1.1539433809380177E-4</v>
          </cell>
          <cell r="I376">
            <v>7.3507223869940678E-5</v>
          </cell>
          <cell r="J376">
            <v>9.0850480983075924E-6</v>
          </cell>
        </row>
        <row r="377">
          <cell r="A377" t="str">
            <v>T_B_c-ICENGA-S2</v>
          </cell>
          <cell r="B377" t="str">
            <v>VAR_fin</v>
          </cell>
          <cell r="C377" t="str">
            <v>TNGA</v>
          </cell>
          <cell r="H377">
            <v>1.1957924900650087E-3</v>
          </cell>
          <cell r="I377">
            <v>7.1467430869780332E-4</v>
          </cell>
          <cell r="J377">
            <v>8.7190012856281439E-5</v>
          </cell>
        </row>
        <row r="378">
          <cell r="A378" t="str">
            <v>T_B_c-ICENGA-S2</v>
          </cell>
          <cell r="B378" t="str">
            <v>VAR_ncap</v>
          </cell>
          <cell r="C378" t="str">
            <v>-</v>
          </cell>
          <cell r="H378">
            <v>9.2579560358873197E-7</v>
          </cell>
          <cell r="I378">
            <v>5.2648336610626703E-7</v>
          </cell>
        </row>
        <row r="379">
          <cell r="A379" t="str">
            <v>T_B_c-ICENGA-S2</v>
          </cell>
          <cell r="B379" t="str">
            <v>VAR_cap</v>
          </cell>
          <cell r="C379" t="str">
            <v>-</v>
          </cell>
          <cell r="H379">
            <v>2.5587924729294316E-6</v>
          </cell>
          <cell r="I379">
            <v>1.6251914299572699E-6</v>
          </cell>
          <cell r="J379">
            <v>1.6494765274652202E-7</v>
          </cell>
        </row>
        <row r="380">
          <cell r="A380" t="str">
            <v>T_B_u-ICEDSL-S1</v>
          </cell>
          <cell r="B380" t="str">
            <v>VAR_fout</v>
          </cell>
          <cell r="C380" t="str">
            <v>CO2_T</v>
          </cell>
          <cell r="H380">
            <v>0.34346106794705256</v>
          </cell>
          <cell r="I380">
            <v>4.1283385312786089</v>
          </cell>
          <cell r="J380">
            <v>2.0471707551679619</v>
          </cell>
        </row>
        <row r="381">
          <cell r="A381" t="str">
            <v>T_B_u-ICEDSL-S1</v>
          </cell>
          <cell r="B381" t="str">
            <v>VAR_fout</v>
          </cell>
          <cell r="C381" t="str">
            <v>TPBSu</v>
          </cell>
          <cell r="H381">
            <v>6.711190927017114E-4</v>
          </cell>
          <cell r="I381">
            <v>9.157986897658052E-3</v>
          </cell>
          <cell r="J381">
            <v>4.5449018348563529E-3</v>
          </cell>
        </row>
        <row r="382">
          <cell r="A382" t="str">
            <v>T_B_u-ICEDSL-S1</v>
          </cell>
          <cell r="B382" t="str">
            <v>VAR_fin</v>
          </cell>
          <cell r="C382" t="str">
            <v>TDSL</v>
          </cell>
          <cell r="H382">
            <v>4.6856898764945686E-3</v>
          </cell>
          <cell r="I382">
            <v>5.6321125938316625E-2</v>
          </cell>
          <cell r="J382">
            <v>2.7928659688512388E-2</v>
          </cell>
        </row>
        <row r="383">
          <cell r="A383" t="str">
            <v>T_B_u-ICEDSL-S1</v>
          </cell>
          <cell r="B383" t="str">
            <v>VAR_ncap</v>
          </cell>
          <cell r="C383" t="str">
            <v>-</v>
          </cell>
          <cell r="H383">
            <v>3.4369578683463E-6</v>
          </cell>
          <cell r="I383">
            <v>2.4212061761473899E-4</v>
          </cell>
        </row>
        <row r="384">
          <cell r="A384" t="str">
            <v>T_B_u-ICEDSL-S1</v>
          </cell>
          <cell r="B384" t="str">
            <v>VAR_cap</v>
          </cell>
          <cell r="C384" t="str">
            <v>-</v>
          </cell>
          <cell r="H384">
            <v>1.5358276794944994E-5</v>
          </cell>
          <cell r="I384">
            <v>2.4578861637852248E-4</v>
          </cell>
          <cell r="J384">
            <v>1.2195789906062427E-4</v>
          </cell>
        </row>
        <row r="385">
          <cell r="A385" t="str">
            <v>T_B_c-ICENGA-S3</v>
          </cell>
          <cell r="B385" t="str">
            <v>VAR_fout</v>
          </cell>
          <cell r="C385" t="str">
            <v>CO2_T</v>
          </cell>
          <cell r="H385">
            <v>7.6955015075470007E-2</v>
          </cell>
          <cell r="I385">
            <v>5.9968874808544896E-2</v>
          </cell>
          <cell r="J385">
            <v>4.5935006496012499E-3</v>
          </cell>
        </row>
        <row r="386">
          <cell r="A386" t="str">
            <v>T_B_c-ICENGA-S3</v>
          </cell>
          <cell r="B386" t="str">
            <v>VAR_fout</v>
          </cell>
          <cell r="C386" t="str">
            <v>TPBSc</v>
          </cell>
          <cell r="H386">
            <v>9.0395388146181609E-5</v>
          </cell>
          <cell r="I386">
            <v>7.2729629997781442E-5</v>
          </cell>
          <cell r="J386">
            <v>5.7791828454616372E-6</v>
          </cell>
        </row>
        <row r="387">
          <cell r="A387" t="str">
            <v>T_B_c-ICENGA-S3</v>
          </cell>
          <cell r="B387" t="str">
            <v>VAR_fin</v>
          </cell>
          <cell r="C387" t="str">
            <v>TNGA</v>
          </cell>
          <cell r="H387">
            <v>1.3644506219054962E-3</v>
          </cell>
          <cell r="I387">
            <v>1.0632779221373229E-3</v>
          </cell>
          <cell r="J387">
            <v>8.1445046978745537E-5</v>
          </cell>
        </row>
        <row r="388">
          <cell r="A388" t="str">
            <v>T_B_c-ICENGA-S3</v>
          </cell>
          <cell r="B388" t="str">
            <v>VAR_ncap</v>
          </cell>
          <cell r="C388" t="str">
            <v>-</v>
          </cell>
          <cell r="H388">
            <v>1.2302120965881599E-6</v>
          </cell>
          <cell r="I388">
            <v>4.03648704979154E-7</v>
          </cell>
        </row>
        <row r="389">
          <cell r="A389" t="str">
            <v>T_B_c-ICENGA-S3</v>
          </cell>
          <cell r="B389" t="str">
            <v>VAR_cap</v>
          </cell>
          <cell r="C389" t="str">
            <v>-</v>
          </cell>
          <cell r="H389">
            <v>2.0239084981282699E-6</v>
          </cell>
          <cell r="I389">
            <v>1.63386080156731E-6</v>
          </cell>
          <cell r="J389">
            <v>1.3449565200522786E-7</v>
          </cell>
        </row>
        <row r="390">
          <cell r="A390" t="str">
            <v>T_B_u-ICEDSL-S2</v>
          </cell>
          <cell r="B390" t="str">
            <v>VAR_fout</v>
          </cell>
          <cell r="C390" t="str">
            <v>CO2_T</v>
          </cell>
          <cell r="H390">
            <v>3.3941310729821441</v>
          </cell>
          <cell r="I390">
            <v>8.5499637166314313E-2</v>
          </cell>
          <cell r="J390">
            <v>2.8726394481483002E-2</v>
          </cell>
        </row>
        <row r="391">
          <cell r="A391" t="str">
            <v>T_B_u-ICEDSL-S2</v>
          </cell>
          <cell r="B391" t="str">
            <v>VAR_fout</v>
          </cell>
          <cell r="C391" t="str">
            <v>TPBSu</v>
          </cell>
          <cell r="H391">
            <v>4.4238546945858043E-3</v>
          </cell>
          <cell r="I391">
            <v>1.2806699744463991E-4</v>
          </cell>
          <cell r="J391">
            <v>4.3940159765875032E-5</v>
          </cell>
        </row>
        <row r="392">
          <cell r="A392" t="str">
            <v>T_B_u-ICEDSL-S2</v>
          </cell>
          <cell r="B392" t="str">
            <v>VAR_fin</v>
          </cell>
          <cell r="C392" t="str">
            <v>TDSL</v>
          </cell>
          <cell r="H392">
            <v>4.6304653110261183E-2</v>
          </cell>
          <cell r="I392">
            <v>1.1664343406045617E-3</v>
          </cell>
          <cell r="J392">
            <v>3.9190169824669885E-4</v>
          </cell>
        </row>
        <row r="393">
          <cell r="A393" t="str">
            <v>T_B_u-ICEDSL-S2</v>
          </cell>
          <cell r="B393" t="str">
            <v>VAR_ncap</v>
          </cell>
          <cell r="C393" t="str">
            <v>-</v>
          </cell>
          <cell r="H393">
            <v>1.1907785671664599E-6</v>
          </cell>
          <cell r="I393">
            <v>1.44799377771878E-6</v>
          </cell>
        </row>
        <row r="394">
          <cell r="A394" t="str">
            <v>T_B_u-ICEDSL-S2</v>
          </cell>
          <cell r="B394" t="str">
            <v>VAR_cap</v>
          </cell>
          <cell r="C394" t="str">
            <v>-</v>
          </cell>
          <cell r="H394">
            <v>8.4324216082954861E-5</v>
          </cell>
          <cell r="I394">
            <v>2.8999332419179268E-6</v>
          </cell>
          <cell r="J394">
            <v>9.3514464629440601E-7</v>
          </cell>
        </row>
        <row r="395">
          <cell r="A395" t="str">
            <v>T_B_c-ICENGA-S4</v>
          </cell>
          <cell r="B395" t="str">
            <v>VAR_fout</v>
          </cell>
          <cell r="C395" t="str">
            <v>CO2_T</v>
          </cell>
          <cell r="H395">
            <v>4.1894654553554485E-3</v>
          </cell>
          <cell r="I395">
            <v>5.9464667445051599E-3</v>
          </cell>
          <cell r="J395">
            <v>4.7603951606810398E-5</v>
          </cell>
        </row>
        <row r="396">
          <cell r="A396" t="str">
            <v>T_B_c-ICENGA-S4</v>
          </cell>
          <cell r="B396" t="str">
            <v>VAR_fout</v>
          </cell>
          <cell r="C396" t="str">
            <v>TPBSc</v>
          </cell>
          <cell r="H396">
            <v>3.3385411601325392E-6</v>
          </cell>
          <cell r="I396">
            <v>4.8783233913735451E-6</v>
          </cell>
          <cell r="J396">
            <v>4.0091281983030597E-8</v>
          </cell>
        </row>
        <row r="397">
          <cell r="A397" t="str">
            <v>T_B_c-ICENGA-S4</v>
          </cell>
          <cell r="B397" t="str">
            <v>VAR_fin</v>
          </cell>
          <cell r="C397" t="str">
            <v>TNGA</v>
          </cell>
          <cell r="H397">
            <v>7.4281302399919222E-5</v>
          </cell>
          <cell r="I397">
            <v>1.0543380752668721E-4</v>
          </cell>
          <cell r="J397">
            <v>8.4404169515621197E-7</v>
          </cell>
        </row>
        <row r="398">
          <cell r="A398" t="str">
            <v>T_B_c-ICENGA-S4</v>
          </cell>
          <cell r="B398" t="str">
            <v>VAR_ncap</v>
          </cell>
          <cell r="C398" t="str">
            <v>-</v>
          </cell>
          <cell r="H398">
            <v>6.5261597024584496E-8</v>
          </cell>
          <cell r="I398">
            <v>3.4294290489566603E-8</v>
          </cell>
        </row>
        <row r="399">
          <cell r="A399" t="str">
            <v>T_B_c-ICENGA-S4</v>
          </cell>
          <cell r="B399" t="str">
            <v>VAR_cap</v>
          </cell>
          <cell r="C399" t="str">
            <v>-</v>
          </cell>
          <cell r="H399">
            <v>7.6541025256533293E-8</v>
          </cell>
          <cell r="I399">
            <v>7.8867067803629595E-8</v>
          </cell>
          <cell r="J399">
            <v>6.0182582716943196E-9</v>
          </cell>
        </row>
        <row r="400">
          <cell r="A400" t="str">
            <v>T_B_u-ICEDSL-S3</v>
          </cell>
          <cell r="B400" t="str">
            <v>VAR_fout</v>
          </cell>
          <cell r="C400" t="str">
            <v>CO2_T</v>
          </cell>
          <cell r="H400">
            <v>90.834692221139775</v>
          </cell>
          <cell r="I400">
            <v>5.9815287452943199E-2</v>
          </cell>
          <cell r="J400">
            <v>1.3200469337140501E-2</v>
          </cell>
        </row>
        <row r="401">
          <cell r="A401" t="str">
            <v>T_B_u-ICEDSL-S3</v>
          </cell>
          <cell r="B401" t="str">
            <v>VAR_fout</v>
          </cell>
          <cell r="C401" t="str">
            <v>TPBSu</v>
          </cell>
          <cell r="H401">
            <v>8.4485746846584081E-2</v>
          </cell>
          <cell r="I401">
            <v>5.9974338003434736E-5</v>
          </cell>
          <cell r="J401">
            <v>1.3537331150184E-5</v>
          </cell>
        </row>
        <row r="402">
          <cell r="A402" t="str">
            <v>T_B_u-ICEDSL-S3</v>
          </cell>
          <cell r="B402" t="str">
            <v>VAR_fin</v>
          </cell>
          <cell r="C402" t="str">
            <v>TDSL</v>
          </cell>
          <cell r="H402">
            <v>1.2392181749132314</v>
          </cell>
          <cell r="I402">
            <v>8.1603393523796875E-4</v>
          </cell>
          <cell r="J402">
            <v>1.8008825835116621E-4</v>
          </cell>
        </row>
        <row r="403">
          <cell r="A403" t="str">
            <v>T_B_u-ICEDSL-S3</v>
          </cell>
          <cell r="B403" t="str">
            <v>VAR_ncap</v>
          </cell>
          <cell r="C403" t="str">
            <v>-</v>
          </cell>
          <cell r="H403">
            <v>5.85791491771344E-7</v>
          </cell>
          <cell r="I403">
            <v>6.3552083668181904E-7</v>
          </cell>
        </row>
        <row r="404">
          <cell r="A404" t="str">
            <v>T_B_u-ICEDSL-S3</v>
          </cell>
          <cell r="B404" t="str">
            <v>VAR_cap</v>
          </cell>
          <cell r="C404" t="str">
            <v>-</v>
          </cell>
          <cell r="H404">
            <v>1.59334363161082E-3</v>
          </cell>
          <cell r="I404">
            <v>1.1699498440644185E-6</v>
          </cell>
          <cell r="J404">
            <v>2.17679389312265E-7</v>
          </cell>
        </row>
        <row r="405">
          <cell r="A405" t="str">
            <v>T_B_u-ICEDSL-S4</v>
          </cell>
          <cell r="B405" t="str">
            <v>VAR_fout</v>
          </cell>
          <cell r="C405" t="str">
            <v>CO2_T</v>
          </cell>
          <cell r="H405">
            <v>8.1375474338090895E-3</v>
          </cell>
          <cell r="I405">
            <v>6.2074263085133002E-3</v>
          </cell>
          <cell r="J405">
            <v>2.5496063587403398E-3</v>
          </cell>
        </row>
        <row r="406">
          <cell r="A406" t="str">
            <v>T_B_u-ICEDSL-S4</v>
          </cell>
          <cell r="B406" t="str">
            <v>VAR_fout</v>
          </cell>
          <cell r="C406" t="str">
            <v>TPBSu</v>
          </cell>
          <cell r="H406">
            <v>5.2701131967504286E-6</v>
          </cell>
          <cell r="I406">
            <v>4.144741860037417E-6</v>
          </cell>
          <cell r="J406">
            <v>1.7487641225602466E-6</v>
          </cell>
        </row>
        <row r="407">
          <cell r="A407" t="str">
            <v>T_B_u-ICEDSL-S4</v>
          </cell>
          <cell r="B407" t="str">
            <v>VAR_fin</v>
          </cell>
          <cell r="C407" t="str">
            <v>TDSL</v>
          </cell>
          <cell r="H407">
            <v>1.1101701819657701E-4</v>
          </cell>
          <cell r="I407">
            <v>8.4685215668667163E-5</v>
          </cell>
          <cell r="J407">
            <v>3.4783169969172419E-5</v>
          </cell>
        </row>
        <row r="408">
          <cell r="A408" t="str">
            <v>T_B_u-ICEDSL-S4</v>
          </cell>
          <cell r="B408" t="str">
            <v>VAR_ncap</v>
          </cell>
          <cell r="C408" t="str">
            <v>-</v>
          </cell>
          <cell r="H408">
            <v>5.6445415488061102E-8</v>
          </cell>
          <cell r="I408">
            <v>4.1261436332438701E-8</v>
          </cell>
        </row>
        <row r="409">
          <cell r="A409" t="str">
            <v>T_B_u-ICEDSL-S4</v>
          </cell>
          <cell r="B409" t="str">
            <v>VAR_cap</v>
          </cell>
          <cell r="C409" t="str">
            <v>-</v>
          </cell>
          <cell r="H409">
            <v>6.6039004762051298E-8</v>
          </cell>
          <cell r="I409">
            <v>7.9812882353616201E-8</v>
          </cell>
          <cell r="J409">
            <v>7.2409131947265397E-9</v>
          </cell>
        </row>
        <row r="410">
          <cell r="A410" t="str">
            <v>D-TBDS1intl</v>
          </cell>
          <cell r="B410" t="str">
            <v>VAR_fout</v>
          </cell>
          <cell r="C410" t="str">
            <v>TKERintl_SAF</v>
          </cell>
          <cell r="H410">
            <v>16.657142654899602</v>
          </cell>
          <cell r="I410">
            <v>26.826895794039199</v>
          </cell>
          <cell r="J410">
            <v>74.828746472319395</v>
          </cell>
        </row>
        <row r="411">
          <cell r="A411" t="str">
            <v>D-TBDS1intl</v>
          </cell>
          <cell r="B411" t="str">
            <v>VAR_fin</v>
          </cell>
          <cell r="C411" t="str">
            <v>BDS1</v>
          </cell>
          <cell r="H411">
            <v>16.657142654899602</v>
          </cell>
          <cell r="I411">
            <v>26.826895794039199</v>
          </cell>
          <cell r="J411">
            <v>74.828746472319395</v>
          </cell>
        </row>
        <row r="412">
          <cell r="A412" t="str">
            <v>T_B_c-ICENGAEXT</v>
          </cell>
          <cell r="B412" t="str">
            <v>VAR_fout</v>
          </cell>
          <cell r="C412" t="str">
            <v>CO2_T</v>
          </cell>
        </row>
        <row r="413">
          <cell r="A413" t="str">
            <v>T_B_c-ICENGAEXT</v>
          </cell>
          <cell r="B413" t="str">
            <v>VAR_fout</v>
          </cell>
          <cell r="C413" t="str">
            <v>TPBSc</v>
          </cell>
        </row>
        <row r="414">
          <cell r="A414" t="str">
            <v>T_B_c-ICENGAEXT</v>
          </cell>
          <cell r="B414" t="str">
            <v>VAR_fin</v>
          </cell>
          <cell r="C414" t="str">
            <v>TNGA</v>
          </cell>
        </row>
        <row r="415">
          <cell r="A415" t="str">
            <v>T_B_c-ICENGAEXT</v>
          </cell>
          <cell r="B415" t="str">
            <v>VAR_cap</v>
          </cell>
          <cell r="C415" t="str">
            <v>-</v>
          </cell>
        </row>
        <row r="416">
          <cell r="A416" t="str">
            <v>T_B_u-ICEDSLEXT</v>
          </cell>
          <cell r="B416" t="str">
            <v>VAR_fout</v>
          </cell>
          <cell r="C416" t="str">
            <v>CO2_T</v>
          </cell>
        </row>
        <row r="417">
          <cell r="A417" t="str">
            <v>T_B_u-ICEDSLEXT</v>
          </cell>
          <cell r="B417" t="str">
            <v>VAR_fout</v>
          </cell>
          <cell r="C417" t="str">
            <v>TPBSu</v>
          </cell>
        </row>
        <row r="418">
          <cell r="A418" t="str">
            <v>T_B_u-ICEDSLEXT</v>
          </cell>
          <cell r="B418" t="str">
            <v>VAR_fin</v>
          </cell>
          <cell r="C418" t="str">
            <v>TDSL</v>
          </cell>
        </row>
        <row r="419">
          <cell r="A419" t="str">
            <v>T_B_u-ICEDSLEXT</v>
          </cell>
          <cell r="B419" t="str">
            <v>VAR_cap</v>
          </cell>
          <cell r="C419" t="str">
            <v>-</v>
          </cell>
        </row>
        <row r="420">
          <cell r="A420" t="str">
            <v>D-T-ELC-LGV</v>
          </cell>
          <cell r="B420" t="str">
            <v>VAR_fout</v>
          </cell>
          <cell r="C420" t="str">
            <v>T-ELC-LGV_BatSTGin</v>
          </cell>
          <cell r="H420">
            <v>5.8400376766852267</v>
          </cell>
          <cell r="I420">
            <v>7.2295781336321481</v>
          </cell>
          <cell r="J420">
            <v>7.9855028372587959</v>
          </cell>
        </row>
        <row r="421">
          <cell r="A421" t="str">
            <v>D-T-ELC-LGV</v>
          </cell>
          <cell r="B421" t="str">
            <v>VAR_fin</v>
          </cell>
          <cell r="C421" t="str">
            <v>TELC</v>
          </cell>
          <cell r="H421">
            <v>5.8400376766852267</v>
          </cell>
          <cell r="I421">
            <v>7.2295781336321481</v>
          </cell>
          <cell r="J421">
            <v>7.9855028372587959</v>
          </cell>
        </row>
        <row r="422">
          <cell r="A422" t="str">
            <v>D-T-ELC-LGV</v>
          </cell>
          <cell r="B422" t="str">
            <v>VAR_ncap</v>
          </cell>
          <cell r="C422" t="str">
            <v>-</v>
          </cell>
          <cell r="H422">
            <v>0.36157410917703398</v>
          </cell>
          <cell r="I422">
            <v>0.35770807318235498</v>
          </cell>
          <cell r="J422">
            <v>0.60121685765588795</v>
          </cell>
        </row>
        <row r="423">
          <cell r="A423" t="str">
            <v>D-T-ELC-LGV</v>
          </cell>
          <cell r="B423" t="str">
            <v>VAR_cap</v>
          </cell>
          <cell r="C423" t="str">
            <v>-</v>
          </cell>
          <cell r="H423">
            <v>0.61728913533972896</v>
          </cell>
          <cell r="I423">
            <v>0.76416200751498597</v>
          </cell>
          <cell r="J423">
            <v>0.84406149597351998</v>
          </cell>
        </row>
        <row r="424">
          <cell r="A424" t="str">
            <v>T_B_c-FCLH2O-S1</v>
          </cell>
          <cell r="B424" t="str">
            <v>VAR_fout</v>
          </cell>
          <cell r="C424" t="str">
            <v>TPBSc</v>
          </cell>
        </row>
        <row r="425">
          <cell r="A425" t="str">
            <v>T_B_c-FCLH2O-S1</v>
          </cell>
          <cell r="B425" t="str">
            <v>VAR_fin</v>
          </cell>
          <cell r="C425" t="str">
            <v>TH2O</v>
          </cell>
        </row>
        <row r="426">
          <cell r="A426" t="str">
            <v>T_B_c-FCLH2O-S1</v>
          </cell>
          <cell r="B426" t="str">
            <v>VAR_ncap</v>
          </cell>
          <cell r="C426" t="str">
            <v>-</v>
          </cell>
          <cell r="H426">
            <v>3.2235184494279601E-8</v>
          </cell>
          <cell r="I426">
            <v>1.9813992145047998E-8</v>
          </cell>
          <cell r="J426">
            <v>2.4106759683628699E-8</v>
          </cell>
        </row>
        <row r="427">
          <cell r="A427" t="str">
            <v>T_B_c-FCLH2O-S1</v>
          </cell>
          <cell r="B427" t="str">
            <v>VAR_cap</v>
          </cell>
          <cell r="C427" t="str">
            <v>-</v>
          </cell>
          <cell r="H427">
            <v>4.6261842934703097E-8</v>
          </cell>
          <cell r="I427">
            <v>2.8863974050971701E-8</v>
          </cell>
          <cell r="J427">
            <v>3.9700490128461098E-8</v>
          </cell>
        </row>
        <row r="428">
          <cell r="A428" t="str">
            <v>T_B_c-FCLH2O-S2</v>
          </cell>
          <cell r="B428" t="str">
            <v>VAR_fout</v>
          </cell>
          <cell r="C428" t="str">
            <v>TPBSc</v>
          </cell>
        </row>
        <row r="429">
          <cell r="A429" t="str">
            <v>T_B_c-FCLH2O-S2</v>
          </cell>
          <cell r="B429" t="str">
            <v>VAR_fin</v>
          </cell>
          <cell r="C429" t="str">
            <v>TH2O</v>
          </cell>
        </row>
        <row r="430">
          <cell r="A430" t="str">
            <v>T_B_c-FCLH2O-S2</v>
          </cell>
          <cell r="B430" t="str">
            <v>VAR_ncap</v>
          </cell>
          <cell r="C430" t="str">
            <v>-</v>
          </cell>
        </row>
        <row r="431">
          <cell r="A431" t="str">
            <v>T_B_c-FCLH2O-S2</v>
          </cell>
          <cell r="B431" t="str">
            <v>VAR_cap</v>
          </cell>
          <cell r="C431" t="str">
            <v>-</v>
          </cell>
          <cell r="H431">
            <v>2.3964879404912044E-9</v>
          </cell>
          <cell r="I431">
            <v>-8.35976654388215E-9</v>
          </cell>
        </row>
        <row r="432">
          <cell r="A432" t="str">
            <v>T_B_c-FCLH2O-S3</v>
          </cell>
          <cell r="B432" t="str">
            <v>VAR_fout</v>
          </cell>
          <cell r="C432" t="str">
            <v>TPBSc</v>
          </cell>
          <cell r="H432">
            <v>5.1606982848626452E-7</v>
          </cell>
          <cell r="I432">
            <v>1.5650021561699226E-7</v>
          </cell>
          <cell r="J432">
            <v>2.3797441606059728E-7</v>
          </cell>
        </row>
        <row r="433">
          <cell r="A433" t="str">
            <v>T_B_c-FCLH2O-S3</v>
          </cell>
          <cell r="B433" t="str">
            <v>VAR_fin</v>
          </cell>
          <cell r="C433" t="str">
            <v>TH2O</v>
          </cell>
          <cell r="H433">
            <v>4.5361291942229775E-6</v>
          </cell>
          <cell r="I433">
            <v>1.2052466217646454E-6</v>
          </cell>
          <cell r="J433">
            <v>1.6234030652945544E-6</v>
          </cell>
        </row>
        <row r="434">
          <cell r="A434" t="str">
            <v>T_B_c-FCLH2O-S3</v>
          </cell>
          <cell r="B434" t="str">
            <v>VAR_ncap</v>
          </cell>
          <cell r="C434" t="str">
            <v>-</v>
          </cell>
          <cell r="H434">
            <v>2.3529031821367E-8</v>
          </cell>
          <cell r="I434">
            <v>2.4325339079636201E-8</v>
          </cell>
          <cell r="J434">
            <v>2.81322532617608E-8</v>
          </cell>
        </row>
        <row r="435">
          <cell r="A435" t="str">
            <v>T_B_c-FCLH2O-S3</v>
          </cell>
          <cell r="B435" t="str">
            <v>VAR_cap</v>
          </cell>
          <cell r="C435" t="str">
            <v>-</v>
          </cell>
          <cell r="H435">
            <v>4.5757046784541198E-8</v>
          </cell>
          <cell r="I435">
            <v>4.7854370901003198E-8</v>
          </cell>
          <cell r="J435">
            <v>3.6464198730796699E-8</v>
          </cell>
        </row>
        <row r="436">
          <cell r="A436" t="str">
            <v>T_C-HYBGSLEXT</v>
          </cell>
          <cell r="B436" t="str">
            <v>VAR_fout</v>
          </cell>
          <cell r="C436" t="str">
            <v>CO2_T</v>
          </cell>
        </row>
        <row r="437">
          <cell r="A437" t="str">
            <v>T_C-HYBGSLEXT</v>
          </cell>
          <cell r="B437" t="str">
            <v>VAR_fout</v>
          </cell>
          <cell r="C437" t="str">
            <v>TPCAR</v>
          </cell>
        </row>
        <row r="438">
          <cell r="A438" t="str">
            <v>T_C-HYBGSLEXT</v>
          </cell>
          <cell r="B438" t="str">
            <v>VAR_fin</v>
          </cell>
          <cell r="C438" t="str">
            <v>TGSL</v>
          </cell>
        </row>
        <row r="439">
          <cell r="A439" t="str">
            <v>T_C-HYBGSLEXT</v>
          </cell>
          <cell r="B439" t="str">
            <v>VAR_cap</v>
          </cell>
          <cell r="C439" t="str">
            <v>-</v>
          </cell>
        </row>
        <row r="440">
          <cell r="A440" t="str">
            <v>T_B_c-FCLH2O-S4</v>
          </cell>
          <cell r="B440" t="str">
            <v>VAR_fout</v>
          </cell>
          <cell r="C440" t="str">
            <v>TPBSc</v>
          </cell>
          <cell r="H440">
            <v>4.0317289022953507E-8</v>
          </cell>
        </row>
        <row r="441">
          <cell r="A441" t="str">
            <v>T_B_c-FCLH2O-S4</v>
          </cell>
          <cell r="B441" t="str">
            <v>VAR_fin</v>
          </cell>
          <cell r="C441" t="str">
            <v>TH2O</v>
          </cell>
          <cell r="H441">
            <v>5.3121302356536697E-7</v>
          </cell>
        </row>
        <row r="442">
          <cell r="A442" t="str">
            <v>T_B_c-FCLH2O-S4</v>
          </cell>
          <cell r="B442" t="str">
            <v>VAR_ncap</v>
          </cell>
          <cell r="C442" t="str">
            <v>-</v>
          </cell>
        </row>
        <row r="443">
          <cell r="A443" t="str">
            <v>T_B_c-FCLH2O-S4</v>
          </cell>
          <cell r="B443" t="str">
            <v>VAR_cap</v>
          </cell>
          <cell r="C443" t="str">
            <v>-</v>
          </cell>
          <cell r="H443">
            <v>5.33042719677533E-9</v>
          </cell>
        </row>
        <row r="444">
          <cell r="A444" t="str">
            <v>TPAVDKEREXT</v>
          </cell>
          <cell r="B444" t="str">
            <v>VAR_fout</v>
          </cell>
          <cell r="C444" t="str">
            <v>CO2_T</v>
          </cell>
          <cell r="H444">
            <v>185.675788544743</v>
          </cell>
          <cell r="I444">
            <v>154.38211110512901</v>
          </cell>
          <cell r="J444">
            <v>123.088433665514</v>
          </cell>
        </row>
        <row r="445">
          <cell r="A445" t="str">
            <v>TPAVDKEREXT</v>
          </cell>
          <cell r="B445" t="str">
            <v>VAR_fout</v>
          </cell>
          <cell r="C445" t="str">
            <v>TPAVD</v>
          </cell>
          <cell r="H445">
            <v>2.5504916008893299</v>
          </cell>
          <cell r="I445">
            <v>2.1206333943012199</v>
          </cell>
          <cell r="J445">
            <v>1.6907751877131001</v>
          </cell>
        </row>
        <row r="446">
          <cell r="A446" t="str">
            <v>TPAVDKEREXT</v>
          </cell>
          <cell r="B446" t="str">
            <v>VAR_fin</v>
          </cell>
          <cell r="C446" t="str">
            <v>TKER</v>
          </cell>
          <cell r="H446">
            <v>2.5504916008893299</v>
          </cell>
          <cell r="I446">
            <v>2.1206333943012199</v>
          </cell>
          <cell r="J446">
            <v>1.6907751877131001</v>
          </cell>
        </row>
        <row r="447">
          <cell r="A447" t="str">
            <v>TPAVDKEREXT</v>
          </cell>
          <cell r="B447" t="str">
            <v>VAR_ncap</v>
          </cell>
          <cell r="C447" t="str">
            <v>-</v>
          </cell>
          <cell r="H447">
            <v>1.46395879843168</v>
          </cell>
          <cell r="I447">
            <v>1.21378025162724</v>
          </cell>
          <cell r="J447">
            <v>1.1729092329244699</v>
          </cell>
        </row>
        <row r="448">
          <cell r="A448" t="str">
            <v>TPAVDKEREXT</v>
          </cell>
          <cell r="B448" t="str">
            <v>VAR_cap</v>
          </cell>
          <cell r="C448" t="str">
            <v>-</v>
          </cell>
          <cell r="H448">
            <v>5.4677682494347799</v>
          </cell>
          <cell r="I448">
            <v>3.7205237236098547</v>
          </cell>
          <cell r="J448">
            <v>2.2862672852488197</v>
          </cell>
        </row>
        <row r="449">
          <cell r="A449" t="str">
            <v>T_C-ICE-GSL-S1</v>
          </cell>
          <cell r="B449" t="str">
            <v>VAR_fout</v>
          </cell>
          <cell r="C449" t="str">
            <v>CO2_T</v>
          </cell>
          <cell r="H449">
            <v>47.339790621152446</v>
          </cell>
          <cell r="I449">
            <v>6.2534237972383515</v>
          </cell>
        </row>
        <row r="450">
          <cell r="A450" t="str">
            <v>T_C-ICE-GSL-S1</v>
          </cell>
          <cell r="B450" t="str">
            <v>VAR_fout</v>
          </cell>
          <cell r="C450" t="str">
            <v>TPCAR</v>
          </cell>
          <cell r="H450">
            <v>0.38447589248536734</v>
          </cell>
          <cell r="I450">
            <v>5.0752268331861854E-2</v>
          </cell>
        </row>
        <row r="451">
          <cell r="A451" t="str">
            <v>T_C-ICE-GSL-S1</v>
          </cell>
          <cell r="B451" t="str">
            <v>VAR_fin</v>
          </cell>
          <cell r="C451" t="str">
            <v>TGSL</v>
          </cell>
          <cell r="H451">
            <v>0.64146057752239083</v>
          </cell>
          <cell r="I451">
            <v>8.4734739799977643E-2</v>
          </cell>
        </row>
        <row r="452">
          <cell r="A452" t="str">
            <v>T_C-ICE-GSL-S1</v>
          </cell>
          <cell r="B452" t="str">
            <v>VAR_ncap</v>
          </cell>
          <cell r="C452" t="str">
            <v>-</v>
          </cell>
        </row>
        <row r="453">
          <cell r="A453" t="str">
            <v>T_C-ICE-GSL-S1</v>
          </cell>
          <cell r="B453" t="str">
            <v>VAR_cap</v>
          </cell>
          <cell r="C453" t="str">
            <v>-</v>
          </cell>
          <cell r="H453">
            <v>5.8407770240286788E-2</v>
          </cell>
          <cell r="I453">
            <v>7.7079813323937653E-3</v>
          </cell>
        </row>
        <row r="454">
          <cell r="A454" t="str">
            <v>V2G</v>
          </cell>
          <cell r="B454" t="str">
            <v>VAR_fout</v>
          </cell>
          <cell r="C454" t="str">
            <v>ELC35</v>
          </cell>
          <cell r="H454">
            <v>0.17959703327447527</v>
          </cell>
          <cell r="I454">
            <v>1.5136318493233853</v>
          </cell>
          <cell r="J454">
            <v>1.6271337627161935</v>
          </cell>
        </row>
        <row r="455">
          <cell r="A455" t="str">
            <v>V2G</v>
          </cell>
          <cell r="B455" t="str">
            <v>VAR_fin</v>
          </cell>
          <cell r="C455" t="str">
            <v>T-ELC-Bus_c_BatSTGout_S1</v>
          </cell>
          <cell r="H455">
            <v>3.9322180325329905E-3</v>
          </cell>
          <cell r="I455">
            <v>1.9181447226047871E-3</v>
          </cell>
          <cell r="J455">
            <v>9.2954130449723264E-4</v>
          </cell>
        </row>
        <row r="456">
          <cell r="A456" t="str">
            <v>V2G</v>
          </cell>
          <cell r="B456" t="str">
            <v>VAR_fin</v>
          </cell>
          <cell r="C456" t="str">
            <v>T-ELC-Bus_c_BatSTGout_S2</v>
          </cell>
          <cell r="H456">
            <v>3.692757440937171E-3</v>
          </cell>
          <cell r="I456">
            <v>2.6031997216528469E-3</v>
          </cell>
          <cell r="J456">
            <v>9.590774427036781E-4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T-ELC-Bus_c_BatSTGout_S3</v>
          </cell>
          <cell r="H457">
            <v>1.7728613853362479E-3</v>
          </cell>
          <cell r="I457">
            <v>1.5524067155027676E-3</v>
          </cell>
          <cell r="J457">
            <v>8.0270392617239083E-4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T-ELC-Bus_c_BatSTGout_S4</v>
          </cell>
          <cell r="H458">
            <v>5.5097245046765216E-4</v>
          </cell>
          <cell r="I458">
            <v>8.2508138695022758E-4</v>
          </cell>
          <cell r="J458">
            <v>4.687330692435049E-4</v>
          </cell>
        </row>
        <row r="459">
          <cell r="A459" t="str">
            <v>V2G</v>
          </cell>
          <cell r="B459" t="str">
            <v>VAR_fin</v>
          </cell>
          <cell r="C459" t="str">
            <v>T-ELC-car-BatSTGOut_S1</v>
          </cell>
          <cell r="H459">
            <v>2.8725727624675537E-2</v>
          </cell>
          <cell r="I459">
            <v>0.55344768140264744</v>
          </cell>
          <cell r="J459">
            <v>0.55959677909623462</v>
          </cell>
        </row>
        <row r="460">
          <cell r="A460" t="str">
            <v>V2G</v>
          </cell>
          <cell r="B460" t="str">
            <v>VAR_fin</v>
          </cell>
          <cell r="C460" t="str">
            <v>T-ELC-car-BatSTGOut_S2</v>
          </cell>
          <cell r="H460">
            <v>1.6182373809433312E-2</v>
          </cell>
          <cell r="I460">
            <v>0.18815016249596569</v>
          </cell>
          <cell r="J460">
            <v>0.18441699040542242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T-ELC-car-BatSTGOut_S3</v>
          </cell>
          <cell r="H461">
            <v>1.9652932173622118E-2</v>
          </cell>
          <cell r="I461">
            <v>0.18490880414982627</v>
          </cell>
          <cell r="J461">
            <v>0.18137074743082768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T-ELC-car-BatSTGOut_S4</v>
          </cell>
          <cell r="H462">
            <v>1.5697972702908541E-2</v>
          </cell>
          <cell r="I462">
            <v>0.19099365612988456</v>
          </cell>
          <cell r="J462">
            <v>0.17488539638149453</v>
          </cell>
        </row>
        <row r="463">
          <cell r="A463" t="str">
            <v>V2G</v>
          </cell>
          <cell r="B463" t="str">
            <v>VAR_fin</v>
          </cell>
          <cell r="C463" t="str">
            <v>T-ELC-car-PlgSTGOut_S1</v>
          </cell>
          <cell r="H463">
            <v>6.0369411176145202E-3</v>
          </cell>
          <cell r="I463">
            <v>4.6703995538946537E-3</v>
          </cell>
          <cell r="J463">
            <v>9.72546441977123E-4</v>
          </cell>
        </row>
        <row r="464">
          <cell r="A464" t="str">
            <v>V2G</v>
          </cell>
          <cell r="B464" t="str">
            <v>VAR_fin</v>
          </cell>
          <cell r="C464" t="str">
            <v>T-ELC-car-PlgSTGOut_S2</v>
          </cell>
          <cell r="H464">
            <v>8.0325531591105004E-4</v>
          </cell>
          <cell r="I464">
            <v>8.4471494130327349E-4</v>
          </cell>
          <cell r="J464">
            <v>2.5960865402233865E-3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T-ELC-car-PlgSTGOut_S3</v>
          </cell>
          <cell r="H465">
            <v>2.1898450529478159E-2</v>
          </cell>
          <cell r="I465">
            <v>0.26329249831105789</v>
          </cell>
          <cell r="J465">
            <v>0.43780225469208645</v>
          </cell>
        </row>
        <row r="466">
          <cell r="A466" t="str">
            <v>V2G</v>
          </cell>
          <cell r="B466" t="str">
            <v>VAR_fin</v>
          </cell>
          <cell r="C466" t="str">
            <v>T-ELC-TWSTGout_S1</v>
          </cell>
          <cell r="H466">
            <v>4.4716042032570229E-3</v>
          </cell>
          <cell r="I466">
            <v>2.984210360519806E-3</v>
          </cell>
          <cell r="J466">
            <v>1.8399657404155698E-3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T-ELC-car-PlgSTGOut_S4</v>
          </cell>
          <cell r="H467">
            <v>4.7402730941617571E-3</v>
          </cell>
          <cell r="I467">
            <v>9.5676403190503214E-3</v>
          </cell>
          <cell r="J467">
            <v>3.0396731834969283E-3</v>
          </cell>
        </row>
        <row r="468">
          <cell r="A468" t="str">
            <v>V2G</v>
          </cell>
          <cell r="B468" t="str">
            <v>VAR_fin</v>
          </cell>
          <cell r="C468" t="str">
            <v>T-ELC-TWSTGout_S2</v>
          </cell>
          <cell r="H468">
            <v>9.6005634993201229E-3</v>
          </cell>
          <cell r="I468">
            <v>8.3397414925002085E-3</v>
          </cell>
          <cell r="J468">
            <v>5.5841006379661268E-3</v>
          </cell>
        </row>
        <row r="469">
          <cell r="A469" t="str">
            <v>V2G</v>
          </cell>
          <cell r="B469" t="str">
            <v>VAR_fin</v>
          </cell>
          <cell r="C469" t="str">
            <v>T-ELC-TWSTGout_S3</v>
          </cell>
          <cell r="H469">
            <v>1.4190198581101461E-2</v>
          </cell>
          <cell r="I469">
            <v>1.3830376871410217E-2</v>
          </cell>
          <cell r="J469">
            <v>9.1320389745004078E-3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T-ELC-TWSTGout_S4</v>
          </cell>
          <cell r="H470">
            <v>1.4348685907635769E-2</v>
          </cell>
          <cell r="I470">
            <v>1.6156651547266278E-2</v>
          </cell>
          <cell r="J470">
            <v>1.3450341184914796E-2</v>
          </cell>
        </row>
        <row r="471">
          <cell r="A471" t="str">
            <v>V2G</v>
          </cell>
          <cell r="B471" t="str">
            <v>VAR_fin</v>
          </cell>
          <cell r="C471" t="str">
            <v>T-ELC-Bus_u_BatSTGout_S1</v>
          </cell>
          <cell r="H471">
            <v>5.8246182193777407E-4</v>
          </cell>
          <cell r="I471">
            <v>4.4582998942852535E-4</v>
          </cell>
          <cell r="J471">
            <v>3.0213637138460953E-4</v>
          </cell>
        </row>
        <row r="472">
          <cell r="A472" t="str">
            <v>V2G</v>
          </cell>
          <cell r="B472" t="str">
            <v>VAR_fin</v>
          </cell>
          <cell r="C472" t="str">
            <v>T-ELC-Bus_u_BatSTGout_S2</v>
          </cell>
          <cell r="H472">
            <v>5.3742525400866221E-4</v>
          </cell>
          <cell r="I472">
            <v>4.2431256771911839E-4</v>
          </cell>
          <cell r="J472">
            <v>2.879004856380415E-4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T-ELC-Bus_u_BatSTGout_S3</v>
          </cell>
          <cell r="H473">
            <v>2.164639425940722E-4</v>
          </cell>
          <cell r="I473">
            <v>1.8817645852203183E-4</v>
          </cell>
          <cell r="J473">
            <v>1.4802767165742638E-4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T-ELC-Bus_u_BatSTGout_S4</v>
          </cell>
          <cell r="H474">
            <v>4.6481266634360258E-4</v>
          </cell>
          <cell r="I474">
            <v>5.3128377907287058E-4</v>
          </cell>
          <cell r="J474">
            <v>3.3238779538811969E-4</v>
          </cell>
        </row>
        <row r="475">
          <cell r="A475" t="str">
            <v>V2G</v>
          </cell>
          <cell r="B475" t="str">
            <v>VAR_fin</v>
          </cell>
          <cell r="C475" t="str">
            <v>T-ELC-LGV_BatSTGout</v>
          </cell>
          <cell r="H475">
            <v>1.322609828859947E-3</v>
          </cell>
          <cell r="I475">
            <v>1.1022928404390898E-3</v>
          </cell>
          <cell r="J475">
            <v>6.3792052085913115E-4</v>
          </cell>
        </row>
        <row r="476">
          <cell r="A476" t="str">
            <v>V2G</v>
          </cell>
          <cell r="B476" t="str">
            <v>VAR_fin</v>
          </cell>
          <cell r="C476" t="str">
            <v>T-ELC-HGV_BatSTGout</v>
          </cell>
          <cell r="H476">
            <v>1.0417857567302204E-2</v>
          </cell>
          <cell r="I476">
            <v>6.7079010996423383E-2</v>
          </cell>
          <cell r="J476">
            <v>4.776299682286745E-2</v>
          </cell>
        </row>
        <row r="477">
          <cell r="A477" t="str">
            <v>V2G</v>
          </cell>
          <cell r="B477" t="str">
            <v>VAR_ncap</v>
          </cell>
          <cell r="C477" t="str">
            <v>-</v>
          </cell>
          <cell r="H477">
            <v>0.52120809700566395</v>
          </cell>
          <cell r="I477">
            <v>4.3961097183179501</v>
          </cell>
          <cell r="J477">
            <v>2.5002328020501201</v>
          </cell>
        </row>
        <row r="478">
          <cell r="A478" t="str">
            <v>V2G</v>
          </cell>
          <cell r="B478" t="str">
            <v>VAR_cap</v>
          </cell>
          <cell r="C478" t="str">
            <v>-</v>
          </cell>
          <cell r="H478">
            <v>0.53718660620181291</v>
          </cell>
          <cell r="I478">
            <v>4.9282112524145036</v>
          </cell>
          <cell r="J478">
            <v>5.9110918564545294</v>
          </cell>
        </row>
        <row r="479">
          <cell r="A479" t="str">
            <v>TPSHPELCEXT</v>
          </cell>
          <cell r="B479" t="str">
            <v>VAR_fout</v>
          </cell>
          <cell r="C479" t="str">
            <v>TPSHP</v>
          </cell>
          <cell r="H479">
            <v>2.9557262172139298</v>
          </cell>
          <cell r="I479">
            <v>8.5440583695431496</v>
          </cell>
          <cell r="J479">
            <v>13.969913197678499</v>
          </cell>
        </row>
        <row r="480">
          <cell r="A480" t="str">
            <v>TPSHPELCEXT</v>
          </cell>
          <cell r="B480" t="str">
            <v>VAR_fin</v>
          </cell>
          <cell r="C480" t="str">
            <v>TELC</v>
          </cell>
          <cell r="H480">
            <v>1.1979154712937483</v>
          </cell>
          <cell r="I480">
            <v>3.4627901762024962</v>
          </cell>
          <cell r="J480">
            <v>5.6618150404687748</v>
          </cell>
        </row>
        <row r="481">
          <cell r="A481" t="str">
            <v>TPSHPELCEXT</v>
          </cell>
          <cell r="B481" t="str">
            <v>VAR_ncap</v>
          </cell>
          <cell r="C481" t="str">
            <v>-</v>
          </cell>
          <cell r="H481">
            <v>2.4834701666076902E-5</v>
          </cell>
          <cell r="I481">
            <v>5.6314064130471602</v>
          </cell>
          <cell r="J481">
            <v>7.6141462610844401</v>
          </cell>
        </row>
        <row r="482">
          <cell r="A482" t="str">
            <v>TPSHPELCEXT</v>
          </cell>
          <cell r="B482" t="str">
            <v>VAR_cap</v>
          </cell>
          <cell r="C482" t="str">
            <v>-</v>
          </cell>
          <cell r="H482">
            <v>2.9556912432498836</v>
          </cell>
          <cell r="I482">
            <v>8.5439985867491366</v>
          </cell>
          <cell r="J482">
            <v>13.969876188459306</v>
          </cell>
        </row>
        <row r="483">
          <cell r="A483" t="str">
            <v>TFLGV-ICEGSL</v>
          </cell>
          <cell r="B483" t="str">
            <v>VAR_fout</v>
          </cell>
          <cell r="C483" t="str">
            <v>CO2_T</v>
          </cell>
          <cell r="H483">
            <v>75.245578642111397</v>
          </cell>
          <cell r="I483">
            <v>10.869181665133899</v>
          </cell>
        </row>
        <row r="484">
          <cell r="A484" t="str">
            <v>TFLGV-ICEGSL</v>
          </cell>
          <cell r="B484" t="str">
            <v>VAR_fout</v>
          </cell>
          <cell r="C484" t="str">
            <v>TFLGV</v>
          </cell>
          <cell r="H484">
            <v>0.35810942280405478</v>
          </cell>
          <cell r="I484">
            <v>5.17287054295461E-2</v>
          </cell>
        </row>
        <row r="485">
          <cell r="A485" t="str">
            <v>TFLGV-ICEGSL</v>
          </cell>
          <cell r="B485" t="str">
            <v>VAR_fin</v>
          </cell>
          <cell r="C485" t="str">
            <v>TGSL</v>
          </cell>
          <cell r="H485">
            <v>1.0195877864784753</v>
          </cell>
          <cell r="I485">
            <v>0.14727888435140851</v>
          </cell>
        </row>
        <row r="486">
          <cell r="A486" t="str">
            <v>TFLGV-ICEGSL</v>
          </cell>
          <cell r="B486" t="str">
            <v>VAR_ncap</v>
          </cell>
          <cell r="C486" t="str">
            <v>-</v>
          </cell>
        </row>
        <row r="487">
          <cell r="A487" t="str">
            <v>TFLGV-ICEGSL</v>
          </cell>
          <cell r="B487" t="str">
            <v>VAR_cap</v>
          </cell>
          <cell r="C487" t="str">
            <v>-</v>
          </cell>
          <cell r="H487">
            <v>3.5597983236017428E-2</v>
          </cell>
          <cell r="I487">
            <v>5.1464202156327804E-3</v>
          </cell>
        </row>
        <row r="488">
          <cell r="A488" t="str">
            <v>T_C-ICE-GSL-S2</v>
          </cell>
          <cell r="B488" t="str">
            <v>VAR_fout</v>
          </cell>
          <cell r="C488" t="str">
            <v>CO2_T</v>
          </cell>
          <cell r="H488">
            <v>43.659786673533915</v>
          </cell>
          <cell r="I488">
            <v>4.307807654802966</v>
          </cell>
        </row>
        <row r="489">
          <cell r="A489" t="str">
            <v>T_C-ICE-GSL-S2</v>
          </cell>
          <cell r="B489" t="str">
            <v>VAR_fout</v>
          </cell>
          <cell r="C489" t="str">
            <v>TPCAR</v>
          </cell>
          <cell r="H489">
            <v>0.33616537297309912</v>
          </cell>
          <cell r="I489">
            <v>3.2293128063700188E-2</v>
          </cell>
        </row>
        <row r="490">
          <cell r="A490" t="str">
            <v>T_C-ICE-GSL-S2</v>
          </cell>
          <cell r="B490" t="str">
            <v>VAR_fin</v>
          </cell>
          <cell r="C490" t="str">
            <v>TGSL</v>
          </cell>
          <cell r="H490">
            <v>0.59159602538663936</v>
          </cell>
          <cell r="I490">
            <v>5.8371377436354573E-2</v>
          </cell>
        </row>
        <row r="491">
          <cell r="A491" t="str">
            <v>T_C-ICE-GSL-S2</v>
          </cell>
          <cell r="B491" t="str">
            <v>VAR_ncap</v>
          </cell>
          <cell r="C491" t="str">
            <v>-</v>
          </cell>
        </row>
        <row r="492">
          <cell r="A492" t="str">
            <v>T_C-ICE-GSL-S2</v>
          </cell>
          <cell r="B492" t="str">
            <v>VAR_cap</v>
          </cell>
          <cell r="C492" t="str">
            <v>-</v>
          </cell>
          <cell r="H492">
            <v>3.5357237671840479E-2</v>
          </cell>
          <cell r="I492">
            <v>3.3985368582212868E-3</v>
          </cell>
        </row>
        <row r="493">
          <cell r="A493" t="str">
            <v>T_C-ICE-DSL-S1</v>
          </cell>
          <cell r="B493" t="str">
            <v>VAR_fout</v>
          </cell>
          <cell r="C493" t="str">
            <v>CO2_T</v>
          </cell>
          <cell r="H493">
            <v>0.11395532617271988</v>
          </cell>
          <cell r="I493">
            <v>2.095586146654491E-2</v>
          </cell>
        </row>
        <row r="494">
          <cell r="A494" t="str">
            <v>T_C-ICE-DSL-S1</v>
          </cell>
          <cell r="B494" t="str">
            <v>VAR_fout</v>
          </cell>
          <cell r="C494" t="str">
            <v>TPCAR</v>
          </cell>
          <cell r="H494">
            <v>1.2609030608309471E-3</v>
          </cell>
          <cell r="I494">
            <v>1.945751490721346E-4</v>
          </cell>
        </row>
        <row r="495">
          <cell r="A495" t="str">
            <v>T_C-ICE-DSL-S1</v>
          </cell>
          <cell r="B495" t="str">
            <v>VAR_fin</v>
          </cell>
          <cell r="C495" t="str">
            <v>TDSL</v>
          </cell>
          <cell r="H495">
            <v>1.5546429218652111E-3</v>
          </cell>
          <cell r="I495">
            <v>2.8589169804290487E-4</v>
          </cell>
        </row>
        <row r="496">
          <cell r="A496" t="str">
            <v>T_C-ICE-DSL-S1</v>
          </cell>
          <cell r="B496" t="str">
            <v>VAR_ncap</v>
          </cell>
          <cell r="C496" t="str">
            <v>-</v>
          </cell>
        </row>
        <row r="497">
          <cell r="A497" t="str">
            <v>T_C-ICE-DSL-S1</v>
          </cell>
          <cell r="B497" t="str">
            <v>VAR_cap</v>
          </cell>
          <cell r="C497" t="str">
            <v>-</v>
          </cell>
          <cell r="H497">
            <v>1.7888089121077656E-4</v>
          </cell>
          <cell r="I497">
            <v>2.671625902574797E-5</v>
          </cell>
        </row>
        <row r="498">
          <cell r="A498" t="str">
            <v>T_C-ICE-GSL-S3</v>
          </cell>
          <cell r="B498" t="str">
            <v>VAR_fout</v>
          </cell>
          <cell r="C498" t="str">
            <v>CO2_T</v>
          </cell>
          <cell r="H498">
            <v>20.884610703444093</v>
          </cell>
          <cell r="I498">
            <v>0.20790314283255282</v>
          </cell>
        </row>
        <row r="499">
          <cell r="A499" t="str">
            <v>T_C-ICE-GSL-S3</v>
          </cell>
          <cell r="B499" t="str">
            <v>VAR_fout</v>
          </cell>
          <cell r="C499" t="str">
            <v>TPCAR</v>
          </cell>
          <cell r="H499">
            <v>0.14581559191043239</v>
          </cell>
          <cell r="I499">
            <v>1.3447860367347309E-3</v>
          </cell>
        </row>
        <row r="500">
          <cell r="A500" t="str">
            <v>T_C-ICE-GSL-S3</v>
          </cell>
          <cell r="B500" t="str">
            <v>VAR_fin</v>
          </cell>
          <cell r="C500" t="str">
            <v>TGSL</v>
          </cell>
          <cell r="H500">
            <v>0.28298930492471586</v>
          </cell>
          <cell r="I500">
            <v>2.8171157565386527E-3</v>
          </cell>
        </row>
        <row r="501">
          <cell r="A501" t="str">
            <v>T_C-ICE-GSL-S3</v>
          </cell>
          <cell r="B501" t="str">
            <v>VAR_ncap</v>
          </cell>
          <cell r="C501" t="str">
            <v>-</v>
          </cell>
        </row>
        <row r="502">
          <cell r="A502" t="str">
            <v>T_C-ICE-GSL-S3</v>
          </cell>
          <cell r="B502" t="str">
            <v>VAR_cap</v>
          </cell>
          <cell r="C502" t="str">
            <v>-</v>
          </cell>
          <cell r="H502">
            <v>1.0094283640805331E-2</v>
          </cell>
          <cell r="I502">
            <v>1.2388773552396141E-4</v>
          </cell>
        </row>
        <row r="503">
          <cell r="A503" t="str">
            <v>T_C-ICE-DSL-S2</v>
          </cell>
          <cell r="B503" t="str">
            <v>VAR_fout</v>
          </cell>
          <cell r="C503" t="str">
            <v>CO2_T</v>
          </cell>
          <cell r="H503">
            <v>1.6313482460236863</v>
          </cell>
          <cell r="I503">
            <v>1.961494191716736E-2</v>
          </cell>
        </row>
        <row r="504">
          <cell r="A504" t="str">
            <v>T_C-ICE-DSL-S2</v>
          </cell>
          <cell r="B504" t="str">
            <v>VAR_fout</v>
          </cell>
          <cell r="C504" t="str">
            <v>TPCAR</v>
          </cell>
          <cell r="H504">
            <v>1.8294439911679672E-2</v>
          </cell>
          <cell r="I504">
            <v>1.5101938168936269E-4</v>
          </cell>
        </row>
        <row r="505">
          <cell r="A505" t="str">
            <v>T_C-ICE-DSL-S2</v>
          </cell>
          <cell r="B505" t="str">
            <v>VAR_fin</v>
          </cell>
          <cell r="C505" t="str">
            <v>TDSL</v>
          </cell>
          <cell r="H505">
            <v>2.225577416130543E-2</v>
          </cell>
          <cell r="I505">
            <v>2.6759811619600754E-4</v>
          </cell>
        </row>
        <row r="506">
          <cell r="A506" t="str">
            <v>T_C-ICE-DSL-S2</v>
          </cell>
          <cell r="B506" t="str">
            <v>VAR_ncap</v>
          </cell>
          <cell r="C506" t="str">
            <v>-</v>
          </cell>
        </row>
        <row r="507">
          <cell r="A507" t="str">
            <v>T_C-ICE-DSL-S2</v>
          </cell>
          <cell r="B507" t="str">
            <v>VAR_cap</v>
          </cell>
          <cell r="C507" t="str">
            <v>-</v>
          </cell>
          <cell r="H507">
            <v>1.8372366573455035E-3</v>
          </cell>
          <cell r="I507">
            <v>1.3294417473377172E-5</v>
          </cell>
        </row>
        <row r="508">
          <cell r="A508" t="str">
            <v>TPRLPH2OFCL</v>
          </cell>
          <cell r="B508" t="str">
            <v>VAR_fout</v>
          </cell>
          <cell r="C508" t="str">
            <v>TPRLP</v>
          </cell>
          <cell r="I508">
            <v>3.1053014434859411E-6</v>
          </cell>
          <cell r="J508">
            <v>5.3732075183282905E-6</v>
          </cell>
        </row>
        <row r="509">
          <cell r="A509" t="str">
            <v>TPRLPH2OFCL</v>
          </cell>
          <cell r="B509" t="str">
            <v>VAR_fin</v>
          </cell>
          <cell r="C509" t="str">
            <v>TH2O</v>
          </cell>
          <cell r="I509">
            <v>1.7307555199940681E-4</v>
          </cell>
          <cell r="J509">
            <v>2.7811521728520193E-4</v>
          </cell>
        </row>
        <row r="510">
          <cell r="A510" t="str">
            <v>TPRLPH2OFCL</v>
          </cell>
          <cell r="B510" t="str">
            <v>VAR_ncap</v>
          </cell>
          <cell r="C510" t="str">
            <v>-</v>
          </cell>
          <cell r="I510">
            <v>1.03807763197301E-7</v>
          </cell>
        </row>
        <row r="511">
          <cell r="A511" t="str">
            <v>TPRLPH2OFCL</v>
          </cell>
          <cell r="B511" t="str">
            <v>VAR_cap</v>
          </cell>
          <cell r="C511" t="str">
            <v>-</v>
          </cell>
          <cell r="I511">
            <v>1.03807763197301E-7</v>
          </cell>
          <cell r="J511">
            <v>1.03807763197301E-7</v>
          </cell>
        </row>
        <row r="512">
          <cell r="A512" t="str">
            <v>T_C-ICE-GSL-S4</v>
          </cell>
          <cell r="B512" t="str">
            <v>VAR_fout</v>
          </cell>
          <cell r="C512" t="str">
            <v>CO2_T</v>
          </cell>
          <cell r="H512">
            <v>168.74392884613565</v>
          </cell>
          <cell r="I512">
            <v>20.961858230094663</v>
          </cell>
        </row>
        <row r="513">
          <cell r="A513" t="str">
            <v>T_C-ICE-GSL-S4</v>
          </cell>
          <cell r="B513" t="str">
            <v>VAR_fout</v>
          </cell>
          <cell r="C513" t="str">
            <v>TPCAR</v>
          </cell>
          <cell r="H513">
            <v>0.99256606230264799</v>
          </cell>
          <cell r="I513">
            <v>0.12339989901101477</v>
          </cell>
        </row>
        <row r="514">
          <cell r="A514" t="str">
            <v>T_C-ICE-GSL-S4</v>
          </cell>
          <cell r="B514" t="str">
            <v>VAR_fin</v>
          </cell>
          <cell r="C514" t="str">
            <v>TGSL</v>
          </cell>
          <cell r="H514">
            <v>2.2865031008961525</v>
          </cell>
          <cell r="I514">
            <v>0.28403601937797746</v>
          </cell>
        </row>
        <row r="515">
          <cell r="A515" t="str">
            <v>T_C-ICE-GSL-S4</v>
          </cell>
          <cell r="B515" t="str">
            <v>VAR_ncap</v>
          </cell>
          <cell r="C515" t="str">
            <v>-</v>
          </cell>
        </row>
        <row r="516">
          <cell r="A516" t="str">
            <v>T_C-ICE-GSL-S4</v>
          </cell>
          <cell r="B516" t="str">
            <v>VAR_cap</v>
          </cell>
          <cell r="C516" t="str">
            <v>-</v>
          </cell>
          <cell r="H516">
            <v>0.11149600024852065</v>
          </cell>
          <cell r="I516">
            <v>1.3871704695984168E-2</v>
          </cell>
        </row>
        <row r="517">
          <cell r="A517" t="str">
            <v>T_C-ICE-DSL-S3</v>
          </cell>
          <cell r="B517" t="str">
            <v>VAR_fout</v>
          </cell>
          <cell r="C517" t="str">
            <v>CO2_T</v>
          </cell>
          <cell r="H517">
            <v>10.15772100570025</v>
          </cell>
          <cell r="I517">
            <v>1.8444953470283701E-2</v>
          </cell>
        </row>
        <row r="518">
          <cell r="A518" t="str">
            <v>T_C-ICE-DSL-S3</v>
          </cell>
          <cell r="B518" t="str">
            <v>VAR_fout</v>
          </cell>
          <cell r="C518" t="str">
            <v>TPCAR</v>
          </cell>
          <cell r="H518">
            <v>8.1893104140680406E-2</v>
          </cell>
          <cell r="I518">
            <v>1.2277773305631017E-4</v>
          </cell>
        </row>
        <row r="519">
          <cell r="A519" t="str">
            <v>T_C-ICE-DSL-S3</v>
          </cell>
          <cell r="B519" t="str">
            <v>VAR_fin</v>
          </cell>
          <cell r="C519" t="str">
            <v>TDSL</v>
          </cell>
          <cell r="H519">
            <v>0.13857736706275917</v>
          </cell>
          <cell r="I519">
            <v>2.5163647299159231E-4</v>
          </cell>
        </row>
        <row r="520">
          <cell r="A520" t="str">
            <v>T_C-ICE-DSL-S3</v>
          </cell>
          <cell r="B520" t="str">
            <v>VAR_ncap</v>
          </cell>
          <cell r="C520" t="str">
            <v>-</v>
          </cell>
        </row>
        <row r="521">
          <cell r="A521" t="str">
            <v>T_C-ICE-DSL-S3</v>
          </cell>
          <cell r="B521" t="str">
            <v>VAR_cap</v>
          </cell>
          <cell r="C521" t="str">
            <v>-</v>
          </cell>
          <cell r="H521">
            <v>5.6644013823305009E-3</v>
          </cell>
          <cell r="I521">
            <v>9.6836676288555253E-6</v>
          </cell>
        </row>
        <row r="522">
          <cell r="A522" t="str">
            <v>T_C-ICE-DSL-S4</v>
          </cell>
          <cell r="B522" t="str">
            <v>VAR_fout</v>
          </cell>
          <cell r="C522" t="str">
            <v>CO2_T</v>
          </cell>
          <cell r="H522">
            <v>5.7837054489506965</v>
          </cell>
          <cell r="I522">
            <v>1.3906366952442819E-2</v>
          </cell>
        </row>
        <row r="523">
          <cell r="A523" t="str">
            <v>T_C-ICE-DSL-S4</v>
          </cell>
          <cell r="B523" t="str">
            <v>VAR_fout</v>
          </cell>
          <cell r="C523" t="str">
            <v>TPCAR</v>
          </cell>
          <cell r="H523">
            <v>3.0833453387347238E-2</v>
          </cell>
          <cell r="I523">
            <v>8.0049932551628765E-5</v>
          </cell>
        </row>
        <row r="524">
          <cell r="A524" t="str">
            <v>T_C-ICE-DSL-S4</v>
          </cell>
          <cell r="B524" t="str">
            <v>VAR_fin</v>
          </cell>
          <cell r="C524" t="str">
            <v>TDSL</v>
          </cell>
          <cell r="H524">
            <v>7.8904576384047673E-2</v>
          </cell>
          <cell r="I524">
            <v>1.8971851231163462E-4</v>
          </cell>
        </row>
        <row r="525">
          <cell r="A525" t="str">
            <v>T_C-ICE-DSL-S4</v>
          </cell>
          <cell r="B525" t="str">
            <v>VAR_ncap</v>
          </cell>
          <cell r="C525" t="str">
            <v>-</v>
          </cell>
        </row>
        <row r="526">
          <cell r="A526" t="str">
            <v>T_C-ICE-DSL-S4</v>
          </cell>
          <cell r="B526" t="str">
            <v>VAR_cap</v>
          </cell>
          <cell r="C526" t="str">
            <v>-</v>
          </cell>
          <cell r="H526">
            <v>3.3963085758808753E-3</v>
          </cell>
          <cell r="I526">
            <v>7.3036683619944785E-6</v>
          </cell>
        </row>
        <row r="527">
          <cell r="A527" t="str">
            <v>TFLGV-ICENGAExt</v>
          </cell>
          <cell r="B527" t="str">
            <v>VAR_fout</v>
          </cell>
          <cell r="C527" t="str">
            <v>CO2_T</v>
          </cell>
        </row>
        <row r="528">
          <cell r="A528" t="str">
            <v>TFLGV-ICENGAExt</v>
          </cell>
          <cell r="B528" t="str">
            <v>VAR_fout</v>
          </cell>
          <cell r="C528" t="str">
            <v>TFLGV</v>
          </cell>
        </row>
        <row r="529">
          <cell r="A529" t="str">
            <v>TFLGV-ICENGAExt</v>
          </cell>
          <cell r="B529" t="str">
            <v>VAR_fin</v>
          </cell>
          <cell r="C529" t="str">
            <v>TNGA</v>
          </cell>
        </row>
        <row r="530">
          <cell r="A530" t="str">
            <v>TFLGV-ICENGAExt</v>
          </cell>
          <cell r="B530" t="str">
            <v>VAR_cap</v>
          </cell>
          <cell r="C530" t="str">
            <v>-</v>
          </cell>
        </row>
        <row r="531">
          <cell r="A531" t="str">
            <v>D-TGSL</v>
          </cell>
          <cell r="B531" t="str">
            <v>VAR_fout</v>
          </cell>
          <cell r="C531" t="str">
            <v>CO2</v>
          </cell>
          <cell r="H531">
            <v>1238.5806117562199</v>
          </cell>
          <cell r="I531">
            <v>268.77637720395501</v>
          </cell>
          <cell r="J531">
            <v>57.592272098018697</v>
          </cell>
        </row>
        <row r="532">
          <cell r="A532" t="str">
            <v>D-TGSL</v>
          </cell>
          <cell r="B532" t="str">
            <v>VAR_fout</v>
          </cell>
          <cell r="C532" t="str">
            <v>TGSL</v>
          </cell>
          <cell r="H532">
            <v>17.843896944489526</v>
          </cell>
          <cell r="I532">
            <v>6.2112557220178424</v>
          </cell>
          <cell r="J532">
            <v>0.87605798398921675</v>
          </cell>
        </row>
        <row r="533">
          <cell r="A533" t="str">
            <v>D-TGSL</v>
          </cell>
          <cell r="B533" t="str">
            <v>VAR_fin</v>
          </cell>
          <cell r="C533" t="str">
            <v>GSL</v>
          </cell>
          <cell r="H533">
            <v>16.782935118647938</v>
          </cell>
          <cell r="I533">
            <v>3.6419563306768956</v>
          </cell>
          <cell r="J533">
            <v>0.78038309075906087</v>
          </cell>
        </row>
        <row r="534">
          <cell r="A534" t="str">
            <v>D-TGSL</v>
          </cell>
          <cell r="B534" t="str">
            <v>VAR_fin</v>
          </cell>
          <cell r="C534" t="str">
            <v>ETH</v>
          </cell>
          <cell r="H534">
            <v>1.3271089298395817</v>
          </cell>
          <cell r="I534">
            <v>2.6619462178176763</v>
          </cell>
          <cell r="J534">
            <v>0.10874399672448354</v>
          </cell>
        </row>
        <row r="535">
          <cell r="A535" t="str">
            <v>T_TW-BEVELC-S1</v>
          </cell>
          <cell r="B535" t="str">
            <v>VAR_fout</v>
          </cell>
          <cell r="C535" t="str">
            <v>TPTWL</v>
          </cell>
          <cell r="H535">
            <v>0.23023958838674549</v>
          </cell>
          <cell r="I535">
            <v>1.0915016107445488</v>
          </cell>
          <cell r="J535">
            <v>1.79020107971929</v>
          </cell>
        </row>
        <row r="536">
          <cell r="A536" t="str">
            <v>T_TW-BEVELC-S1</v>
          </cell>
          <cell r="B536" t="str">
            <v>VAR_fin</v>
          </cell>
          <cell r="C536" t="str">
            <v>T-ELC-TWSTGout_S1</v>
          </cell>
          <cell r="H536">
            <v>2.0000150120738431E-2</v>
          </cell>
          <cell r="I536">
            <v>9.3925494482592006E-2</v>
          </cell>
          <cell r="J536">
            <v>0.15101856432639041</v>
          </cell>
        </row>
        <row r="537">
          <cell r="A537" t="str">
            <v>T_TW-BEVELC-S1</v>
          </cell>
          <cell r="B537" t="str">
            <v>VAR_ncap</v>
          </cell>
          <cell r="C537" t="str">
            <v>-</v>
          </cell>
          <cell r="H537">
            <v>7.7306506245287607E-2</v>
          </cell>
          <cell r="I537">
            <v>0.29859519808214302</v>
          </cell>
          <cell r="J537">
            <v>0.57737093204534395</v>
          </cell>
        </row>
        <row r="538">
          <cell r="A538" t="str">
            <v>T_TW-BEVELC-S1</v>
          </cell>
          <cell r="B538" t="str">
            <v>VAR_cap</v>
          </cell>
          <cell r="C538" t="str">
            <v>-</v>
          </cell>
          <cell r="H538">
            <v>7.938505199862235E-2</v>
          </cell>
          <cell r="I538">
            <v>0.37619309726035438</v>
          </cell>
          <cell r="J538">
            <v>0.74068414127544524</v>
          </cell>
        </row>
        <row r="539">
          <cell r="A539" t="str">
            <v>T_TW-BEVELC-S2</v>
          </cell>
          <cell r="B539" t="str">
            <v>VAR_fout</v>
          </cell>
          <cell r="C539" t="str">
            <v>TPTWL</v>
          </cell>
          <cell r="H539">
            <v>3.8706712474010077E-3</v>
          </cell>
          <cell r="I539">
            <v>3.4637782213608513E-3</v>
          </cell>
          <cell r="J539">
            <v>2.2353444867995978E-3</v>
          </cell>
        </row>
        <row r="540">
          <cell r="A540" t="str">
            <v>T_TW-BEVELC-S2</v>
          </cell>
          <cell r="B540" t="str">
            <v>VAR_fin</v>
          </cell>
          <cell r="C540" t="str">
            <v>T-ELC-TWSTGout_S2</v>
          </cell>
          <cell r="H540">
            <v>5.9898521607218219E-4</v>
          </cell>
          <cell r="I540">
            <v>5.299007373615861E-4</v>
          </cell>
          <cell r="J540">
            <v>3.3693367169955989E-4</v>
          </cell>
        </row>
        <row r="541">
          <cell r="A541" t="str">
            <v>T_TW-BEVELC-S2</v>
          </cell>
          <cell r="B541" t="str">
            <v>VAR_ncap</v>
          </cell>
          <cell r="C541" t="str">
            <v>-</v>
          </cell>
          <cell r="H541">
            <v>7.3291122741793197E-4</v>
          </cell>
          <cell r="I541">
            <v>4.26388608477049E-4</v>
          </cell>
          <cell r="J541">
            <v>3.5051442817259098E-4</v>
          </cell>
        </row>
        <row r="542">
          <cell r="A542" t="str">
            <v>T_TW-BEVELC-S2</v>
          </cell>
          <cell r="B542" t="str">
            <v>VAR_cap</v>
          </cell>
          <cell r="C542" t="str">
            <v>-</v>
          </cell>
          <cell r="H542">
            <v>1.4570513695539272E-3</v>
          </cell>
          <cell r="I542">
            <v>1.3376696817120491E-3</v>
          </cell>
          <cell r="J542">
            <v>8.7973036128556072E-4</v>
          </cell>
        </row>
        <row r="543">
          <cell r="A543" t="str">
            <v>TFRLFH2OFCL</v>
          </cell>
          <cell r="B543" t="str">
            <v>VAR_fout</v>
          </cell>
          <cell r="C543" t="str">
            <v>TFRLF</v>
          </cell>
          <cell r="I543">
            <v>1.2917470367072672E-6</v>
          </cell>
          <cell r="J543">
            <v>1.3268315026617331E-6</v>
          </cell>
        </row>
        <row r="544">
          <cell r="A544" t="str">
            <v>TFRLFH2OFCL</v>
          </cell>
          <cell r="B544" t="str">
            <v>VAR_fin</v>
          </cell>
          <cell r="C544" t="str">
            <v>TH2O</v>
          </cell>
          <cell r="I544">
            <v>1.770274798128989E-4</v>
          </cell>
          <cell r="J544">
            <v>2.2359440212131926E-4</v>
          </cell>
        </row>
        <row r="545">
          <cell r="A545" t="str">
            <v>TFRLFH2OFCL</v>
          </cell>
          <cell r="B545" t="str">
            <v>VAR_ncap</v>
          </cell>
          <cell r="C545" t="str">
            <v>-</v>
          </cell>
          <cell r="I545">
            <v>2.0081527354699299E-7</v>
          </cell>
        </row>
        <row r="546">
          <cell r="A546" t="str">
            <v>TFRLFH2OFCL</v>
          </cell>
          <cell r="B546" t="str">
            <v>VAR_cap</v>
          </cell>
          <cell r="C546" t="str">
            <v>-</v>
          </cell>
          <cell r="I546">
            <v>2.0081527354699299E-7</v>
          </cell>
          <cell r="J546">
            <v>2.0081527354699299E-7</v>
          </cell>
        </row>
        <row r="547">
          <cell r="A547" t="str">
            <v>T_TW-BEVELC-S3</v>
          </cell>
          <cell r="B547" t="str">
            <v>VAR_fout</v>
          </cell>
          <cell r="C547" t="str">
            <v>TPTWL</v>
          </cell>
          <cell r="H547">
            <v>2.4288545307295539E-3</v>
          </cell>
          <cell r="I547">
            <v>2.0865919362303663E-3</v>
          </cell>
          <cell r="J547">
            <v>1.1673915376539028E-3</v>
          </cell>
        </row>
        <row r="548">
          <cell r="A548" t="str">
            <v>T_TW-BEVELC-S3</v>
          </cell>
          <cell r="B548" t="str">
            <v>VAR_fin</v>
          </cell>
          <cell r="C548" t="str">
            <v>T-ELC-TWSTGout_S3</v>
          </cell>
          <cell r="H548">
            <v>5.838668331730226E-4</v>
          </cell>
          <cell r="I548">
            <v>4.9564389691393303E-4</v>
          </cell>
          <cell r="J548">
            <v>2.6956430902718098E-4</v>
          </cell>
        </row>
        <row r="549">
          <cell r="A549" t="str">
            <v>T_TW-BEVELC-S3</v>
          </cell>
          <cell r="B549" t="str">
            <v>VAR_ncap</v>
          </cell>
          <cell r="C549" t="str">
            <v>-</v>
          </cell>
          <cell r="H549">
            <v>1.8029157638681001E-4</v>
          </cell>
          <cell r="I549">
            <v>1.43831107460229E-4</v>
          </cell>
          <cell r="J549">
            <v>1.2868306485610301E-4</v>
          </cell>
        </row>
        <row r="550">
          <cell r="A550" t="str">
            <v>T_TW-BEVELC-S3</v>
          </cell>
          <cell r="B550" t="str">
            <v>VAR_cap</v>
          </cell>
          <cell r="C550" t="str">
            <v>-</v>
          </cell>
          <cell r="H550">
            <v>9.2443526637014744E-4</v>
          </cell>
          <cell r="I550">
            <v>8.0896923401109987E-4</v>
          </cell>
          <cell r="J550">
            <v>4.5634243154057654E-4</v>
          </cell>
        </row>
        <row r="551">
          <cell r="A551" t="str">
            <v>T_TW-BEVELC-S4</v>
          </cell>
          <cell r="B551" t="str">
            <v>VAR_fout</v>
          </cell>
          <cell r="C551" t="str">
            <v>TPTWL</v>
          </cell>
          <cell r="H551">
            <v>2.4231350688196335E-3</v>
          </cell>
          <cell r="I551">
            <v>2.7619864119736693E-3</v>
          </cell>
          <cell r="J551">
            <v>1.7116796247963074E-3</v>
          </cell>
        </row>
        <row r="552">
          <cell r="A552" t="str">
            <v>T_TW-BEVELC-S4</v>
          </cell>
          <cell r="B552" t="str">
            <v>VAR_fin</v>
          </cell>
          <cell r="C552" t="str">
            <v>T-ELC-TWSTGout_S4</v>
          </cell>
          <cell r="H552">
            <v>6.3167161947650437E-4</v>
          </cell>
          <cell r="I552">
            <v>7.1560936588870581E-4</v>
          </cell>
          <cell r="J552">
            <v>4.3245113631257563E-4</v>
          </cell>
        </row>
        <row r="553">
          <cell r="A553" t="str">
            <v>T_TW-BEVELC-S4</v>
          </cell>
          <cell r="B553" t="str">
            <v>VAR_ncap</v>
          </cell>
          <cell r="C553" t="str">
            <v>-</v>
          </cell>
          <cell r="H553">
            <v>1.8453656377261999E-4</v>
          </cell>
          <cell r="I553">
            <v>1.5083364911487999E-4</v>
          </cell>
          <cell r="J553">
            <v>1.20809525159848E-4</v>
          </cell>
        </row>
        <row r="554">
          <cell r="A554" t="str">
            <v>T_TW-BEVELC-S4</v>
          </cell>
          <cell r="B554" t="str">
            <v>VAR_cap</v>
          </cell>
          <cell r="C554" t="str">
            <v>-</v>
          </cell>
          <cell r="H554">
            <v>9.21887969326055E-4</v>
          </cell>
          <cell r="I554">
            <v>1.0719702418119387E-3</v>
          </cell>
          <cell r="J554">
            <v>6.7061692425920885E-4</v>
          </cell>
        </row>
        <row r="555">
          <cell r="A555" t="str">
            <v>T_B_u-BeVELCEXT</v>
          </cell>
          <cell r="B555" t="str">
            <v>VAR_fout</v>
          </cell>
          <cell r="C555" t="str">
            <v>TPBSu</v>
          </cell>
        </row>
        <row r="556">
          <cell r="A556" t="str">
            <v>T_B_u-BeVELCEXT</v>
          </cell>
          <cell r="B556" t="str">
            <v>VAR_fin</v>
          </cell>
          <cell r="C556" t="str">
            <v>TELC</v>
          </cell>
        </row>
        <row r="557">
          <cell r="A557" t="str">
            <v>T_B_u-BeVELCEXT</v>
          </cell>
          <cell r="B557" t="str">
            <v>VAR_cap</v>
          </cell>
          <cell r="C557" t="str">
            <v>-</v>
          </cell>
        </row>
        <row r="558">
          <cell r="A558" t="str">
            <v>T_B_u-HYBDSL-S1</v>
          </cell>
          <cell r="B558" t="str">
            <v>VAR_fout</v>
          </cell>
          <cell r="C558" t="str">
            <v>CO2_T</v>
          </cell>
          <cell r="H558">
            <v>1.5163752058029571E-3</v>
          </cell>
          <cell r="I558">
            <v>1.6481575129524699E-3</v>
          </cell>
          <cell r="J558">
            <v>6.8351756155300551E-4</v>
          </cell>
        </row>
        <row r="559">
          <cell r="A559" t="str">
            <v>T_B_u-HYBDSL-S1</v>
          </cell>
          <cell r="B559" t="str">
            <v>VAR_fout</v>
          </cell>
          <cell r="C559" t="str">
            <v>TPBSu</v>
          </cell>
          <cell r="H559">
            <v>4.0035039950572942E-6</v>
          </cell>
          <cell r="I559">
            <v>4.6015392447491383E-6</v>
          </cell>
          <cell r="J559">
            <v>1.9061687714656671E-6</v>
          </cell>
        </row>
        <row r="560">
          <cell r="A560" t="str">
            <v>T_B_u-HYBDSL-S1</v>
          </cell>
          <cell r="B560" t="str">
            <v>VAR_fin</v>
          </cell>
          <cell r="C560" t="str">
            <v>TDSL</v>
          </cell>
          <cell r="H560">
            <v>2.0687247009590096E-5</v>
          </cell>
          <cell r="I560">
            <v>2.2485095674658597E-5</v>
          </cell>
          <cell r="J560">
            <v>9.3249326269168571E-6</v>
          </cell>
        </row>
        <row r="561">
          <cell r="A561" t="str">
            <v>T_B_u-HYBDSL-S1</v>
          </cell>
          <cell r="B561" t="str">
            <v>VAR_ncap</v>
          </cell>
          <cell r="C561" t="str">
            <v>-</v>
          </cell>
          <cell r="H561">
            <v>8.1619494601475703E-8</v>
          </cell>
          <cell r="I561">
            <v>9.67355031929034E-8</v>
          </cell>
        </row>
        <row r="562">
          <cell r="A562" t="str">
            <v>T_B_u-HYBDSL-S1</v>
          </cell>
          <cell r="B562" t="str">
            <v>VAR_cap</v>
          </cell>
          <cell r="C562" t="str">
            <v>-</v>
          </cell>
          <cell r="H562">
            <v>1.1128939778490019E-7</v>
          </cell>
          <cell r="I562">
            <v>1.0885523210696729E-7</v>
          </cell>
          <cell r="J562">
            <v>6.2836660384811799E-8</v>
          </cell>
        </row>
        <row r="563">
          <cell r="A563" t="str">
            <v>T_B_u-HYBDSL-S2</v>
          </cell>
          <cell r="B563" t="str">
            <v>VAR_fout</v>
          </cell>
          <cell r="C563" t="str">
            <v>CO2_T</v>
          </cell>
          <cell r="H563">
            <v>1.44929485829424E-3</v>
          </cell>
          <cell r="I563">
            <v>1.4609509331150699E-3</v>
          </cell>
          <cell r="J563">
            <v>6.8607595543569895E-4</v>
          </cell>
        </row>
        <row r="564">
          <cell r="A564" t="str">
            <v>T_B_u-HYBDSL-S2</v>
          </cell>
          <cell r="B564" t="str">
            <v>VAR_fout</v>
          </cell>
          <cell r="C564" t="str">
            <v>TPBSu</v>
          </cell>
          <cell r="H564">
            <v>2.7562059017261521E-6</v>
          </cell>
          <cell r="I564">
            <v>2.9233395085955359E-6</v>
          </cell>
          <cell r="J564">
            <v>1.3728270409096857E-6</v>
          </cell>
        </row>
        <row r="565">
          <cell r="A565" t="str">
            <v>T_B_u-HYBDSL-S2</v>
          </cell>
          <cell r="B565" t="str">
            <v>VAR_fin</v>
          </cell>
          <cell r="C565" t="str">
            <v>TDSL</v>
          </cell>
          <cell r="H565">
            <v>1.977209902174954E-5</v>
          </cell>
          <cell r="I565">
            <v>1.9931117777831815E-5</v>
          </cell>
          <cell r="J565">
            <v>9.3598356812510105E-6</v>
          </cell>
        </row>
        <row r="566">
          <cell r="A566" t="str">
            <v>T_B_u-HYBDSL-S2</v>
          </cell>
          <cell r="B566" t="str">
            <v>VAR_ncap</v>
          </cell>
          <cell r="C566" t="str">
            <v>-</v>
          </cell>
          <cell r="H566">
            <v>2.8962373612318501E-8</v>
          </cell>
          <cell r="I566">
            <v>5.4120483692191403E-8</v>
          </cell>
        </row>
        <row r="567">
          <cell r="A567" t="str">
            <v>T_B_u-HYBDSL-S2</v>
          </cell>
          <cell r="B567" t="str">
            <v>VAR_cap</v>
          </cell>
          <cell r="C567" t="str">
            <v>-</v>
          </cell>
          <cell r="H567">
            <v>4.2763025679779577E-9</v>
          </cell>
          <cell r="I567">
            <v>3.6345378358267792E-8</v>
          </cell>
          <cell r="J567">
            <v>3.2224276317642497E-8</v>
          </cell>
        </row>
        <row r="568">
          <cell r="A568" t="str">
            <v>T_B_u-HYBDSL-S3</v>
          </cell>
          <cell r="B568" t="str">
            <v>VAR_fout</v>
          </cell>
          <cell r="C568" t="str">
            <v>CO2_T</v>
          </cell>
          <cell r="H568">
            <v>2.26059508110898E-3</v>
          </cell>
          <cell r="J568">
            <v>2.2307189034178501E-3</v>
          </cell>
        </row>
        <row r="569">
          <cell r="A569" t="str">
            <v>T_B_u-HYBDSL-S3</v>
          </cell>
          <cell r="B569" t="str">
            <v>VAR_fout</v>
          </cell>
          <cell r="C569" t="str">
            <v>TPBSu</v>
          </cell>
          <cell r="H569">
            <v>2.8919934898859749E-6</v>
          </cell>
          <cell r="J569">
            <v>3.0046837948611124E-6</v>
          </cell>
        </row>
        <row r="570">
          <cell r="A570" t="str">
            <v>T_B_u-HYBDSL-S3</v>
          </cell>
          <cell r="B570" t="str">
            <v>VAR_fin</v>
          </cell>
          <cell r="C570" t="str">
            <v>TDSL</v>
          </cell>
          <cell r="H570">
            <v>3.0840314885524986E-5</v>
          </cell>
          <cell r="J570">
            <v>3.0432727195332213E-5</v>
          </cell>
        </row>
        <row r="571">
          <cell r="A571" t="str">
            <v>T_B_u-HYBDSL-S3</v>
          </cell>
          <cell r="B571" t="str">
            <v>VAR_ncap</v>
          </cell>
          <cell r="C571" t="str">
            <v>-</v>
          </cell>
        </row>
        <row r="572">
          <cell r="A572" t="str">
            <v>T_B_u-HYBDSL-S3</v>
          </cell>
          <cell r="B572" t="str">
            <v>VAR_cap</v>
          </cell>
          <cell r="C572" t="str">
            <v>-</v>
          </cell>
          <cell r="H572">
            <v>-2.04695314247605E-8</v>
          </cell>
          <cell r="I572">
            <v>-2.91247822335281E-8</v>
          </cell>
        </row>
        <row r="573">
          <cell r="A573" t="str">
            <v>T_C-HY-GSL-S1</v>
          </cell>
          <cell r="B573" t="str">
            <v>VAR_fout</v>
          </cell>
          <cell r="C573" t="str">
            <v>CO2_T</v>
          </cell>
          <cell r="H573">
            <v>0.23341522731470182</v>
          </cell>
          <cell r="I573">
            <v>2.8383794214189878E-2</v>
          </cell>
        </row>
        <row r="574">
          <cell r="A574" t="str">
            <v>T_C-HY-GSL-S1</v>
          </cell>
          <cell r="B574" t="str">
            <v>VAR_fout</v>
          </cell>
          <cell r="C574" t="str">
            <v>TPCAR</v>
          </cell>
          <cell r="H574">
            <v>3.9513508656166116E-3</v>
          </cell>
          <cell r="I574">
            <v>3.5752322195911233E-4</v>
          </cell>
        </row>
        <row r="575">
          <cell r="A575" t="str">
            <v>T_C-HY-GSL-S1</v>
          </cell>
          <cell r="B575" t="str">
            <v>VAR_fin</v>
          </cell>
          <cell r="C575" t="str">
            <v>TGSL</v>
          </cell>
          <cell r="H575">
            <v>3.1628079581937979E-3</v>
          </cell>
          <cell r="I575">
            <v>3.8460425764484944E-4</v>
          </cell>
        </row>
        <row r="576">
          <cell r="A576" t="str">
            <v>T_C-HY-GSL-S1</v>
          </cell>
          <cell r="B576" t="str">
            <v>VAR_ncap</v>
          </cell>
          <cell r="C576" t="str">
            <v>-</v>
          </cell>
        </row>
        <row r="577">
          <cell r="A577" t="str">
            <v>T_C-HY-GSL-S1</v>
          </cell>
          <cell r="B577" t="str">
            <v>VAR_cap</v>
          </cell>
          <cell r="C577" t="str">
            <v>-</v>
          </cell>
          <cell r="H577">
            <v>5.8034828149221057E-4</v>
          </cell>
          <cell r="I577">
            <v>5.0653370653965485E-5</v>
          </cell>
        </row>
        <row r="578">
          <cell r="A578" t="str">
            <v>T_B_u-HYBDSL-S4</v>
          </cell>
          <cell r="B578" t="str">
            <v>VAR_fout</v>
          </cell>
          <cell r="C578" t="str">
            <v>CO2_T</v>
          </cell>
          <cell r="J578">
            <v>1.3055956246590199E-3</v>
          </cell>
        </row>
        <row r="579">
          <cell r="A579" t="str">
            <v>T_B_u-HYBDSL-S4</v>
          </cell>
          <cell r="B579" t="str">
            <v>VAR_fout</v>
          </cell>
          <cell r="C579" t="str">
            <v>TPBSu</v>
          </cell>
          <cell r="J579">
            <v>1.1876247355720163E-6</v>
          </cell>
        </row>
        <row r="580">
          <cell r="A580" t="str">
            <v>T_B_u-HYBDSL-S4</v>
          </cell>
          <cell r="B580" t="str">
            <v>VAR_fin</v>
          </cell>
          <cell r="C580" t="str">
            <v>TDSL</v>
          </cell>
          <cell r="J580">
            <v>1.7811672914856957E-5</v>
          </cell>
        </row>
        <row r="581">
          <cell r="A581" t="str">
            <v>T_B_u-HYBDSL-S4</v>
          </cell>
          <cell r="B581" t="str">
            <v>VAR_ncap</v>
          </cell>
          <cell r="C581" t="str">
            <v>-</v>
          </cell>
        </row>
        <row r="582">
          <cell r="A582" t="str">
            <v>T_B_u-HYBDSL-S4</v>
          </cell>
          <cell r="B582" t="str">
            <v>VAR_cap</v>
          </cell>
          <cell r="C582" t="str">
            <v>-</v>
          </cell>
          <cell r="H582">
            <v>-7.7206769983934892E-9</v>
          </cell>
          <cell r="I582">
            <v>-2.0706731092669999E-8</v>
          </cell>
        </row>
        <row r="583">
          <cell r="A583" t="str">
            <v>TFRLFDSLEXT</v>
          </cell>
          <cell r="B583" t="str">
            <v>VAR_fout</v>
          </cell>
          <cell r="C583" t="str">
            <v>CO2_T</v>
          </cell>
          <cell r="H583">
            <v>2.9295336935825901E-2</v>
          </cell>
          <cell r="I583">
            <v>2.22178014643735E-2</v>
          </cell>
        </row>
        <row r="584">
          <cell r="A584" t="str">
            <v>TFRLFDSLEXT</v>
          </cell>
          <cell r="B584" t="str">
            <v>VAR_fout</v>
          </cell>
          <cell r="C584" t="str">
            <v>TFRLF</v>
          </cell>
          <cell r="H584">
            <v>1.6198658272739306E-6</v>
          </cell>
          <cell r="I584">
            <v>1.2285182938204229E-6</v>
          </cell>
        </row>
        <row r="585">
          <cell r="A585" t="str">
            <v>TFRLFDSLEXT</v>
          </cell>
          <cell r="B585" t="str">
            <v>VAR_fin</v>
          </cell>
          <cell r="C585" t="str">
            <v>TDSL</v>
          </cell>
          <cell r="H585">
            <v>3.9966353254878483E-4</v>
          </cell>
          <cell r="I585">
            <v>3.0310779623974731E-4</v>
          </cell>
        </row>
        <row r="586">
          <cell r="A586" t="str">
            <v>TFRLFDSLEXT</v>
          </cell>
          <cell r="B586" t="str">
            <v>VAR_ncap</v>
          </cell>
          <cell r="C586" t="str">
            <v>-</v>
          </cell>
        </row>
        <row r="587">
          <cell r="A587" t="str">
            <v>TFRLFDSLEXT</v>
          </cell>
          <cell r="B587" t="str">
            <v>VAR_cap</v>
          </cell>
          <cell r="C587" t="str">
            <v>-</v>
          </cell>
          <cell r="H587">
            <v>2.6432789119001216E-7</v>
          </cell>
          <cell r="I587">
            <v>2.1379927648198789E-7</v>
          </cell>
          <cell r="J587">
            <v>1.0784143762549944E-7</v>
          </cell>
        </row>
        <row r="588">
          <cell r="A588" t="str">
            <v>T_C-HY-GSL-S2</v>
          </cell>
          <cell r="B588" t="str">
            <v>VAR_fout</v>
          </cell>
          <cell r="C588" t="str">
            <v>CO2_T</v>
          </cell>
          <cell r="H588">
            <v>35.387187903500049</v>
          </cell>
          <cell r="I588">
            <v>3.3110758025767852</v>
          </cell>
        </row>
        <row r="589">
          <cell r="A589" t="str">
            <v>T_C-HY-GSL-S2</v>
          </cell>
          <cell r="B589" t="str">
            <v>VAR_fout</v>
          </cell>
          <cell r="C589" t="str">
            <v>TPCAR</v>
          </cell>
          <cell r="H589">
            <v>0.90609041394444279</v>
          </cell>
          <cell r="I589">
            <v>8.3125167768730357E-2</v>
          </cell>
        </row>
        <row r="590">
          <cell r="A590" t="str">
            <v>T_C-HY-GSL-S2</v>
          </cell>
          <cell r="B590" t="str">
            <v>VAR_fin</v>
          </cell>
          <cell r="C590" t="str">
            <v>TGSL</v>
          </cell>
          <cell r="H590">
            <v>0.47950119110433587</v>
          </cell>
          <cell r="I590">
            <v>4.4865525780173242E-2</v>
          </cell>
        </row>
        <row r="591">
          <cell r="A591" t="str">
            <v>T_C-HY-GSL-S2</v>
          </cell>
          <cell r="B591" t="str">
            <v>VAR_ncap</v>
          </cell>
          <cell r="C591" t="str">
            <v>-</v>
          </cell>
        </row>
        <row r="592">
          <cell r="A592" t="str">
            <v>T_C-HY-GSL-S2</v>
          </cell>
          <cell r="B592" t="str">
            <v>VAR_cap</v>
          </cell>
          <cell r="C592" t="str">
            <v>-</v>
          </cell>
          <cell r="H592">
            <v>6.8901891540426016E-2</v>
          </cell>
          <cell r="I592">
            <v>8.7392101107353452E-3</v>
          </cell>
        </row>
        <row r="593">
          <cell r="A593" t="str">
            <v>TPSHPNGAEXT</v>
          </cell>
          <cell r="B593" t="str">
            <v>VAR_ncap</v>
          </cell>
          <cell r="C593" t="str">
            <v>-</v>
          </cell>
          <cell r="H593">
            <v>2.7919951029411599E-5</v>
          </cell>
          <cell r="I593">
            <v>2.13704970916586E-3</v>
          </cell>
          <cell r="J593">
            <v>4.3978945262390002E-6</v>
          </cell>
        </row>
        <row r="594">
          <cell r="A594" t="str">
            <v>TPSHPNGAEXT</v>
          </cell>
          <cell r="B594" t="str">
            <v>VAR_cap</v>
          </cell>
          <cell r="C594" t="str">
            <v>-</v>
          </cell>
          <cell r="H594">
            <v>3.4195326179185197E-5</v>
          </cell>
          <cell r="I594">
            <v>2.1653880191690564E-3</v>
          </cell>
          <cell r="J594">
            <v>1.6063100690452995E-4</v>
          </cell>
        </row>
        <row r="595">
          <cell r="A595" t="str">
            <v>T_C-HY-DSL-S1</v>
          </cell>
          <cell r="B595" t="str">
            <v>VAR_fout</v>
          </cell>
          <cell r="C595" t="str">
            <v>CO2_T</v>
          </cell>
          <cell r="H595">
            <v>2.3040095366155309</v>
          </cell>
          <cell r="I595">
            <v>1.9146958730234111E-2</v>
          </cell>
        </row>
        <row r="596">
          <cell r="A596" t="str">
            <v>T_C-HY-DSL-S1</v>
          </cell>
          <cell r="B596" t="str">
            <v>VAR_fout</v>
          </cell>
          <cell r="C596" t="str">
            <v>TPCAR</v>
          </cell>
          <cell r="H596">
            <v>5.290796639472993E-2</v>
          </cell>
          <cell r="I596">
            <v>2.6182066569298848E-4</v>
          </cell>
        </row>
        <row r="597">
          <cell r="A597" t="str">
            <v>T_C-HY-DSL-S1</v>
          </cell>
          <cell r="B597" t="str">
            <v>VAR_fin</v>
          </cell>
          <cell r="C597" t="str">
            <v>TDSL</v>
          </cell>
          <cell r="H597">
            <v>3.1432599408124574E-2</v>
          </cell>
          <cell r="I597">
            <v>2.6121362524193862E-4</v>
          </cell>
        </row>
        <row r="598">
          <cell r="A598" t="str">
            <v>T_C-HY-DSL-S1</v>
          </cell>
          <cell r="B598" t="str">
            <v>VAR_ncap</v>
          </cell>
          <cell r="C598" t="str">
            <v>-</v>
          </cell>
        </row>
        <row r="599">
          <cell r="A599" t="str">
            <v>T_C-HY-DSL-S1</v>
          </cell>
          <cell r="B599" t="str">
            <v>VAR_cap</v>
          </cell>
          <cell r="C599" t="str">
            <v>-</v>
          </cell>
          <cell r="H599">
            <v>8.0261984705564445E-3</v>
          </cell>
          <cell r="I599">
            <v>3.6347412512069746E-5</v>
          </cell>
        </row>
        <row r="600">
          <cell r="A600" t="str">
            <v>T_C-HY-GSL-S3</v>
          </cell>
          <cell r="B600" t="str">
            <v>VAR_fout</v>
          </cell>
          <cell r="C600" t="str">
            <v>CO2_T</v>
          </cell>
          <cell r="H600">
            <v>20.333859109728976</v>
          </cell>
          <cell r="I600">
            <v>1.6379143443233428E-2</v>
          </cell>
        </row>
        <row r="601">
          <cell r="A601" t="str">
            <v>T_C-HY-GSL-S3</v>
          </cell>
          <cell r="B601" t="str">
            <v>VAR_fout</v>
          </cell>
          <cell r="C601" t="str">
            <v>TPCAR</v>
          </cell>
          <cell r="H601">
            <v>0.70157315606289583</v>
          </cell>
          <cell r="I601">
            <v>2.2883967695049032E-4</v>
          </cell>
        </row>
        <row r="602">
          <cell r="A602" t="str">
            <v>T_C-HY-GSL-S3</v>
          </cell>
          <cell r="B602" t="str">
            <v>VAR_fin</v>
          </cell>
          <cell r="C602" t="str">
            <v>TGSL</v>
          </cell>
          <cell r="H602">
            <v>0.27552654620228872</v>
          </cell>
          <cell r="I602">
            <v>2.2193961305194308E-4</v>
          </cell>
        </row>
        <row r="603">
          <cell r="A603" t="str">
            <v>T_C-HY-GSL-S3</v>
          </cell>
          <cell r="B603" t="str">
            <v>VAR_ncap</v>
          </cell>
          <cell r="C603" t="str">
            <v>-</v>
          </cell>
        </row>
        <row r="604">
          <cell r="A604" t="str">
            <v>T_C-HY-GSL-S3</v>
          </cell>
          <cell r="B604" t="str">
            <v>VAR_cap</v>
          </cell>
          <cell r="C604" t="str">
            <v>-</v>
          </cell>
          <cell r="H604">
            <v>4.8268651138783064E-2</v>
          </cell>
          <cell r="I604">
            <v>1.7803801982411499E-5</v>
          </cell>
        </row>
        <row r="605">
          <cell r="A605" t="str">
            <v>T_C-HY-DSL-S2</v>
          </cell>
          <cell r="B605" t="str">
            <v>VAR_fout</v>
          </cell>
          <cell r="C605" t="str">
            <v>CO2_T</v>
          </cell>
          <cell r="H605">
            <v>42.996217977869279</v>
          </cell>
          <cell r="I605">
            <v>3.046922917037505</v>
          </cell>
        </row>
        <row r="606">
          <cell r="A606" t="str">
            <v>T_C-HY-DSL-S2</v>
          </cell>
          <cell r="B606" t="str">
            <v>VAR_fout</v>
          </cell>
          <cell r="C606" t="str">
            <v>TPCAR</v>
          </cell>
          <cell r="H606">
            <v>1.2635222881393289</v>
          </cell>
          <cell r="I606">
            <v>8.097614048262794E-2</v>
          </cell>
        </row>
        <row r="607">
          <cell r="A607" t="str">
            <v>T_C-HY-DSL-S2</v>
          </cell>
          <cell r="B607" t="str">
            <v>VAR_fin</v>
          </cell>
          <cell r="C607" t="str">
            <v>TDSL</v>
          </cell>
          <cell r="H607">
            <v>0.58657869001185969</v>
          </cell>
          <cell r="I607">
            <v>4.1567843342940093E-2</v>
          </cell>
        </row>
        <row r="608">
          <cell r="A608" t="str">
            <v>T_C-HY-DSL-S2</v>
          </cell>
          <cell r="B608" t="str">
            <v>VAR_ncap</v>
          </cell>
          <cell r="C608" t="str">
            <v>-</v>
          </cell>
        </row>
        <row r="609">
          <cell r="A609" t="str">
            <v>T_C-HY-DSL-S2</v>
          </cell>
          <cell r="B609" t="str">
            <v>VAR_cap</v>
          </cell>
          <cell r="C609" t="str">
            <v>-</v>
          </cell>
          <cell r="H609">
            <v>9.590899989719863E-2</v>
          </cell>
          <cell r="I609">
            <v>8.5123874694125398E-3</v>
          </cell>
        </row>
        <row r="610">
          <cell r="A610" t="str">
            <v>D-T-ELC-Bus_c_S1</v>
          </cell>
          <cell r="B610" t="str">
            <v>VAR_fout</v>
          </cell>
          <cell r="C610" t="str">
            <v>T-ELC-Bus_c_BatSTGin_S1</v>
          </cell>
          <cell r="H610">
            <v>0.1290660147696312</v>
          </cell>
          <cell r="I610">
            <v>0.12470677648866534</v>
          </cell>
          <cell r="J610">
            <v>0.1135694901359745</v>
          </cell>
        </row>
        <row r="611">
          <cell r="A611" t="str">
            <v>D-T-ELC-Bus_c_S1</v>
          </cell>
          <cell r="B611" t="str">
            <v>VAR_fin</v>
          </cell>
          <cell r="C611" t="str">
            <v>TELC</v>
          </cell>
          <cell r="H611">
            <v>0.1290660147696312</v>
          </cell>
          <cell r="I611">
            <v>0.12470677648866534</v>
          </cell>
          <cell r="J611">
            <v>0.1135694901359745</v>
          </cell>
        </row>
        <row r="612">
          <cell r="A612" t="str">
            <v>D-T-ELC-Bus_c_S1</v>
          </cell>
          <cell r="B612" t="str">
            <v>VAR_ncap</v>
          </cell>
          <cell r="C612" t="str">
            <v>-</v>
          </cell>
          <cell r="H612">
            <v>3.9731410075284903E-3</v>
          </cell>
          <cell r="I612">
            <v>9.65089779934937E-3</v>
          </cell>
          <cell r="J612">
            <v>8.8929085239791202E-3</v>
          </cell>
        </row>
        <row r="613">
          <cell r="A613" t="str">
            <v>D-T-ELC-Bus_c_S1</v>
          </cell>
          <cell r="B613" t="str">
            <v>VAR_cap</v>
          </cell>
          <cell r="C613" t="str">
            <v>-</v>
          </cell>
          <cell r="H613">
            <v>1.59637781685859E-2</v>
          </cell>
          <cell r="I613">
            <v>1.5742632314957601E-2</v>
          </cell>
          <cell r="J613">
            <v>1.44301259207083E-2</v>
          </cell>
        </row>
        <row r="614">
          <cell r="A614" t="str">
            <v>T_C-HY-GSL-S4</v>
          </cell>
          <cell r="B614" t="str">
            <v>VAR_fout</v>
          </cell>
          <cell r="C614" t="str">
            <v>CO2_T</v>
          </cell>
          <cell r="H614">
            <v>1.2144940294438356</v>
          </cell>
          <cell r="I614">
            <v>1.673619852470451E-2</v>
          </cell>
        </row>
        <row r="615">
          <cell r="A615" t="str">
            <v>T_C-HY-GSL-S4</v>
          </cell>
          <cell r="B615" t="str">
            <v>VAR_fout</v>
          </cell>
          <cell r="C615" t="str">
            <v>TPCAR</v>
          </cell>
          <cell r="H615">
            <v>2.60651637748784E-2</v>
          </cell>
          <cell r="I615">
            <v>1.9066071000186353E-4</v>
          </cell>
        </row>
        <row r="616">
          <cell r="A616" t="str">
            <v>T_C-HY-GSL-S4</v>
          </cell>
          <cell r="B616" t="str">
            <v>VAR_fin</v>
          </cell>
          <cell r="C616" t="str">
            <v>TGSL</v>
          </cell>
          <cell r="H616">
            <v>1.645655866455064E-2</v>
          </cell>
          <cell r="I616">
            <v>2.2677775778732399E-4</v>
          </cell>
        </row>
        <row r="617">
          <cell r="A617" t="str">
            <v>T_C-HY-GSL-S4</v>
          </cell>
          <cell r="B617" t="str">
            <v>VAR_ncap</v>
          </cell>
          <cell r="C617" t="str">
            <v>-</v>
          </cell>
        </row>
        <row r="618">
          <cell r="A618" t="str">
            <v>T_C-HY-GSL-S4</v>
          </cell>
          <cell r="B618" t="str">
            <v>VAR_cap</v>
          </cell>
          <cell r="C618" t="str">
            <v>-</v>
          </cell>
          <cell r="H618">
            <v>2.0990941619680971E-3</v>
          </cell>
          <cell r="I618">
            <v>1.7483423351552099E-5</v>
          </cell>
        </row>
        <row r="619">
          <cell r="A619" t="str">
            <v>T_C-HY-DSL-S3</v>
          </cell>
          <cell r="B619" t="str">
            <v>VAR_fout</v>
          </cell>
          <cell r="C619" t="str">
            <v>CO2_T</v>
          </cell>
          <cell r="H619">
            <v>0.50959272497937758</v>
          </cell>
          <cell r="I619">
            <v>1.3411849051101231E-2</v>
          </cell>
        </row>
        <row r="620">
          <cell r="A620" t="str">
            <v>T_C-HY-DSL-S3</v>
          </cell>
          <cell r="B620" t="str">
            <v>VAR_fout</v>
          </cell>
          <cell r="C620" t="str">
            <v>TPCAR</v>
          </cell>
          <cell r="H620">
            <v>1.0079501921144219E-2</v>
          </cell>
          <cell r="I620">
            <v>1.5952211713427501E-4</v>
          </cell>
        </row>
        <row r="621">
          <cell r="A621" t="str">
            <v>T_C-HY-DSL-S3</v>
          </cell>
          <cell r="B621" t="str">
            <v>VAR_fin</v>
          </cell>
          <cell r="C621" t="str">
            <v>TDSL</v>
          </cell>
          <cell r="H621">
            <v>6.9521517732520867E-3</v>
          </cell>
          <cell r="I621">
            <v>1.8297201979674269E-4</v>
          </cell>
        </row>
        <row r="622">
          <cell r="A622" t="str">
            <v>T_C-HY-DSL-S3</v>
          </cell>
          <cell r="B622" t="str">
            <v>VAR_ncap</v>
          </cell>
          <cell r="C622" t="str">
            <v>-</v>
          </cell>
        </row>
        <row r="623">
          <cell r="A623" t="str">
            <v>T_C-HY-DSL-S3</v>
          </cell>
          <cell r="B623" t="str">
            <v>VAR_cap</v>
          </cell>
          <cell r="C623" t="str">
            <v>-</v>
          </cell>
          <cell r="H623">
            <v>7.1162573280972113E-4</v>
          </cell>
          <cell r="I623">
            <v>1.2382633727045629E-5</v>
          </cell>
        </row>
        <row r="624">
          <cell r="A624" t="str">
            <v>D-T-ELC-Bus_c_S2</v>
          </cell>
          <cell r="B624" t="str">
            <v>VAR_fout</v>
          </cell>
          <cell r="C624" t="str">
            <v>T-ELC-Bus_c_BatSTGin_S2</v>
          </cell>
          <cell r="H624">
            <v>9.3588830384306362E-2</v>
          </cell>
          <cell r="I624">
            <v>0.1663021158946647</v>
          </cell>
          <cell r="J624">
            <v>0.14880590288580359</v>
          </cell>
        </row>
        <row r="625">
          <cell r="A625" t="str">
            <v>D-T-ELC-Bus_c_S2</v>
          </cell>
          <cell r="B625" t="str">
            <v>VAR_fin</v>
          </cell>
          <cell r="C625" t="str">
            <v>TELC</v>
          </cell>
          <cell r="H625">
            <v>9.3588830384306362E-2</v>
          </cell>
          <cell r="I625">
            <v>0.1663021158946647</v>
          </cell>
          <cell r="J625">
            <v>0.14880590288580359</v>
          </cell>
        </row>
        <row r="626">
          <cell r="A626" t="str">
            <v>D-T-ELC-Bus_c_S2</v>
          </cell>
          <cell r="B626" t="str">
            <v>VAR_ncap</v>
          </cell>
          <cell r="C626" t="str">
            <v>-</v>
          </cell>
          <cell r="H626">
            <v>1.08020678113995E-2</v>
          </cell>
          <cell r="I626">
            <v>1.0038579993966399E-2</v>
          </cell>
          <cell r="J626">
            <v>1.1985366985712001E-2</v>
          </cell>
        </row>
        <row r="627">
          <cell r="A627" t="str">
            <v>D-T-ELC-Bus_c_S2</v>
          </cell>
          <cell r="B627" t="str">
            <v>VAR_cap</v>
          </cell>
          <cell r="C627" t="str">
            <v>-</v>
          </cell>
          <cell r="H627">
            <v>1.14647313695217E-2</v>
          </cell>
          <cell r="I627">
            <v>2.0952779833794399E-2</v>
          </cell>
          <cell r="J627">
            <v>1.8915408106235401E-2</v>
          </cell>
        </row>
        <row r="628">
          <cell r="A628" t="str">
            <v>T_C-HY-DSL-S4</v>
          </cell>
          <cell r="B628" t="str">
            <v>VAR_fout</v>
          </cell>
          <cell r="C628" t="str">
            <v>CO2_T</v>
          </cell>
          <cell r="H628">
            <v>0.96326229680016218</v>
          </cell>
          <cell r="I628">
            <v>1.401691276464415E-2</v>
          </cell>
        </row>
        <row r="629">
          <cell r="A629" t="str">
            <v>T_C-HY-DSL-S4</v>
          </cell>
          <cell r="B629" t="str">
            <v>VAR_fout</v>
          </cell>
          <cell r="C629" t="str">
            <v>TPCAR</v>
          </cell>
          <cell r="H629">
            <v>2.0618189895210349E-2</v>
          </cell>
          <cell r="I629">
            <v>1.6723679200873957E-4</v>
          </cell>
        </row>
        <row r="630">
          <cell r="A630" t="str">
            <v>T_C-HY-DSL-S4</v>
          </cell>
          <cell r="B630" t="str">
            <v>VAR_fin</v>
          </cell>
          <cell r="C630" t="str">
            <v>TDSL</v>
          </cell>
          <cell r="H630">
            <v>1.3141368305595619E-2</v>
          </cell>
          <cell r="I630">
            <v>1.9122664071820109E-4</v>
          </cell>
        </row>
        <row r="631">
          <cell r="A631" t="str">
            <v>T_C-HY-DSL-S4</v>
          </cell>
          <cell r="B631" t="str">
            <v>VAR_ncap</v>
          </cell>
          <cell r="C631" t="str">
            <v>-</v>
          </cell>
        </row>
        <row r="632">
          <cell r="A632" t="str">
            <v>T_C-HY-DSL-S4</v>
          </cell>
          <cell r="B632" t="str">
            <v>VAR_cap</v>
          </cell>
          <cell r="C632" t="str">
            <v>-</v>
          </cell>
          <cell r="H632">
            <v>1.6670498333842675E-3</v>
          </cell>
          <cell r="I632">
            <v>1.5242395166017605E-5</v>
          </cell>
        </row>
        <row r="633">
          <cell r="A633" t="str">
            <v>D-T-ELC-Bus_c_S3</v>
          </cell>
          <cell r="B633" t="str">
            <v>VAR_fout</v>
          </cell>
          <cell r="C633" t="str">
            <v>T-ELC-Bus_c_BatSTGin_S3</v>
          </cell>
          <cell r="H633">
            <v>2.8687777471158346E-2</v>
          </cell>
          <cell r="I633">
            <v>5.3556004321990411E-2</v>
          </cell>
          <cell r="J633">
            <v>4.7186887818644295E-2</v>
          </cell>
        </row>
        <row r="634">
          <cell r="A634" t="str">
            <v>D-T-ELC-Bus_c_S3</v>
          </cell>
          <cell r="B634" t="str">
            <v>VAR_fin</v>
          </cell>
          <cell r="C634" t="str">
            <v>TELC</v>
          </cell>
          <cell r="H634">
            <v>2.8687777471158346E-2</v>
          </cell>
          <cell r="I634">
            <v>5.3556004321990411E-2</v>
          </cell>
          <cell r="J634">
            <v>4.7186887818644295E-2</v>
          </cell>
        </row>
        <row r="635">
          <cell r="A635" t="str">
            <v>D-T-ELC-Bus_c_S3</v>
          </cell>
          <cell r="B635" t="str">
            <v>VAR_ncap</v>
          </cell>
          <cell r="C635" t="str">
            <v>-</v>
          </cell>
          <cell r="H635">
            <v>3.3065371957862601E-3</v>
          </cell>
          <cell r="I635">
            <v>3.40150013372492E-3</v>
          </cell>
          <cell r="J635">
            <v>4.8012888968040502E-3</v>
          </cell>
        </row>
        <row r="636">
          <cell r="A636" t="str">
            <v>D-T-ELC-Bus_c_S3</v>
          </cell>
          <cell r="B636" t="str">
            <v>VAR_cap</v>
          </cell>
          <cell r="C636" t="str">
            <v>-</v>
          </cell>
          <cell r="H636">
            <v>3.4512033749652198E-3</v>
          </cell>
          <cell r="I636">
            <v>6.7080373295111797E-3</v>
          </cell>
          <cell r="J636">
            <v>5.9663749634085604E-3</v>
          </cell>
        </row>
        <row r="637">
          <cell r="A637" t="str">
            <v>D-T-ELC-Bus_c_S4</v>
          </cell>
          <cell r="B637" t="str">
            <v>VAR_fout</v>
          </cell>
          <cell r="C637" t="str">
            <v>T-ELC-Bus_c_BatSTGin_S4</v>
          </cell>
          <cell r="H637">
            <v>8.0086165182961333E-4</v>
          </cell>
          <cell r="I637">
            <v>1.150383789429522E-3</v>
          </cell>
          <cell r="J637">
            <v>5.9829582470930876E-4</v>
          </cell>
        </row>
        <row r="638">
          <cell r="A638" t="str">
            <v>D-T-ELC-Bus_c_S4</v>
          </cell>
          <cell r="B638" t="str">
            <v>VAR_fin</v>
          </cell>
          <cell r="C638" t="str">
            <v>TELC</v>
          </cell>
          <cell r="H638">
            <v>8.0086165182961333E-4</v>
          </cell>
          <cell r="I638">
            <v>1.150383789429522E-3</v>
          </cell>
          <cell r="J638">
            <v>5.9829582470930876E-4</v>
          </cell>
        </row>
        <row r="639">
          <cell r="A639" t="str">
            <v>D-T-ELC-Bus_c_S4</v>
          </cell>
          <cell r="B639" t="str">
            <v>VAR_ncap</v>
          </cell>
          <cell r="C639" t="str">
            <v>-</v>
          </cell>
          <cell r="H639">
            <v>1.02992334232731E-4</v>
          </cell>
          <cell r="I639">
            <v>1.74906046205072E-4</v>
          </cell>
          <cell r="J639">
            <v>8.4184092875871198E-5</v>
          </cell>
        </row>
        <row r="640">
          <cell r="A640" t="str">
            <v>D-T-ELC-Bus_c_S4</v>
          </cell>
          <cell r="B640" t="str">
            <v>VAR_cap</v>
          </cell>
          <cell r="C640" t="str">
            <v>-</v>
          </cell>
          <cell r="H640">
            <v>1.2958070653734099E-4</v>
          </cell>
          <cell r="I640">
            <v>2.4524840048551801E-4</v>
          </cell>
          <cell r="J640">
            <v>1.14878116409126E-4</v>
          </cell>
        </row>
        <row r="641">
          <cell r="A641" t="str">
            <v>D-TH2O</v>
          </cell>
          <cell r="B641" t="str">
            <v>VAR_fout</v>
          </cell>
          <cell r="C641" t="str">
            <v>TH2Ointl</v>
          </cell>
          <cell r="J641">
            <v>6.6631771145236999E-6</v>
          </cell>
        </row>
        <row r="642">
          <cell r="A642" t="str">
            <v>D-TH2O</v>
          </cell>
          <cell r="B642" t="str">
            <v>VAR_fout</v>
          </cell>
          <cell r="C642" t="str">
            <v>TH2O</v>
          </cell>
          <cell r="H642">
            <v>1.6415000177718078E-3</v>
          </cell>
          <cell r="I642">
            <v>9.2150513334783482E-2</v>
          </cell>
          <cell r="J642">
            <v>9.2088126554177724E-2</v>
          </cell>
        </row>
        <row r="643">
          <cell r="A643" t="str">
            <v>D-TH2O</v>
          </cell>
          <cell r="B643" t="str">
            <v>VAR_fin</v>
          </cell>
          <cell r="C643" t="str">
            <v>H2</v>
          </cell>
          <cell r="H643">
            <v>1.6415000177718078E-3</v>
          </cell>
          <cell r="I643">
            <v>9.2150513334783482E-2</v>
          </cell>
          <cell r="J643">
            <v>9.2094789731292176E-2</v>
          </cell>
        </row>
        <row r="644">
          <cell r="A644" t="str">
            <v>D-TH2O</v>
          </cell>
          <cell r="B644" t="str">
            <v>VAR_ncap</v>
          </cell>
          <cell r="C644" t="str">
            <v>-</v>
          </cell>
          <cell r="H644">
            <v>7.1307017596540402E-6</v>
          </cell>
          <cell r="I644">
            <v>9.1585877377993001E-3</v>
          </cell>
          <cell r="J644">
            <v>5.6901366745372802E-7</v>
          </cell>
        </row>
        <row r="645">
          <cell r="A645" t="str">
            <v>D-TH2O</v>
          </cell>
          <cell r="B645" t="str">
            <v>VAR_cap</v>
          </cell>
          <cell r="C645" t="str">
            <v>-</v>
          </cell>
          <cell r="H645">
            <v>9.6044069351043496E-4</v>
          </cell>
          <cell r="I645">
            <v>1.01190284313097E-2</v>
          </cell>
          <cell r="J645">
            <v>1.01195974449772E-2</v>
          </cell>
        </row>
        <row r="646">
          <cell r="A646" t="str">
            <v>TFHGV-HYBDSL</v>
          </cell>
          <cell r="B646" t="str">
            <v>VAR_fout</v>
          </cell>
          <cell r="C646" t="str">
            <v>CO2_T</v>
          </cell>
          <cell r="H646">
            <v>725.95434167021767</v>
          </cell>
          <cell r="I646">
            <v>573.58101828148961</v>
          </cell>
          <cell r="J646">
            <v>12.258643885186601</v>
          </cell>
        </row>
        <row r="647">
          <cell r="A647" t="str">
            <v>TFHGV-HYBDSL</v>
          </cell>
          <cell r="B647" t="str">
            <v>VAR_fout</v>
          </cell>
          <cell r="C647" t="str">
            <v>TFHGV</v>
          </cell>
          <cell r="H647">
            <v>1.6189559481419484</v>
          </cell>
          <cell r="I647">
            <v>1.2791471143373558</v>
          </cell>
          <cell r="J647">
            <v>2.7338089043473714E-2</v>
          </cell>
        </row>
        <row r="648">
          <cell r="A648" t="str">
            <v>TFHGV-HYBDSL</v>
          </cell>
          <cell r="B648" t="str">
            <v>VAR_fin</v>
          </cell>
          <cell r="C648" t="str">
            <v>TDSL</v>
          </cell>
          <cell r="H648">
            <v>9.9038791496619059</v>
          </cell>
          <cell r="I648">
            <v>7.8251162112072343</v>
          </cell>
          <cell r="J648">
            <v>0.16723934359054013</v>
          </cell>
        </row>
        <row r="649">
          <cell r="A649" t="str">
            <v>TFHGV-HYBDSL</v>
          </cell>
          <cell r="B649" t="str">
            <v>VAR_ncap</v>
          </cell>
          <cell r="C649" t="str">
            <v>-</v>
          </cell>
          <cell r="H649">
            <v>3.1914026813875097E-2</v>
          </cell>
          <cell r="I649">
            <v>4.1847483124880704E-3</v>
          </cell>
        </row>
        <row r="650">
          <cell r="A650" t="str">
            <v>TFHGV-HYBDSL</v>
          </cell>
          <cell r="B650" t="str">
            <v>VAR_cap</v>
          </cell>
          <cell r="C650" t="str">
            <v>-</v>
          </cell>
          <cell r="H650">
            <v>3.1935484575533003E-2</v>
          </cell>
          <cell r="I650">
            <v>2.598157245234637E-2</v>
          </cell>
          <cell r="J650">
            <v>7.3437577471539297E-4</v>
          </cell>
        </row>
        <row r="651">
          <cell r="A651" t="str">
            <v>D-TKER</v>
          </cell>
          <cell r="B651" t="str">
            <v>VAR_fout</v>
          </cell>
          <cell r="C651" t="str">
            <v>CO2</v>
          </cell>
          <cell r="H651">
            <v>188.12081579667901</v>
          </cell>
          <cell r="I651">
            <v>156.44061960962699</v>
          </cell>
          <cell r="J651">
            <v>5.0008902128324902E-5</v>
          </cell>
        </row>
        <row r="652">
          <cell r="A652" t="str">
            <v>D-TKER</v>
          </cell>
          <cell r="B652" t="str">
            <v>VAR_fout</v>
          </cell>
          <cell r="C652" t="str">
            <v>TKER</v>
          </cell>
          <cell r="H652">
            <v>2.5461012717839901</v>
          </cell>
          <cell r="I652">
            <v>2.1173290093385702</v>
          </cell>
          <cell r="J652">
            <v>6.76840193203633E-7</v>
          </cell>
        </row>
        <row r="653">
          <cell r="A653" t="str">
            <v>D-TKER</v>
          </cell>
          <cell r="B653" t="str">
            <v>VAR_fin</v>
          </cell>
          <cell r="C653" t="str">
            <v>KER</v>
          </cell>
          <cell r="H653">
            <v>2.5840771400642821</v>
          </cell>
          <cell r="I653">
            <v>2.1489096100223444</v>
          </cell>
          <cell r="J653">
            <v>6.8693546879567115E-7</v>
          </cell>
        </row>
        <row r="654">
          <cell r="A654" t="str">
            <v>T_B_u-BEVELC-S1</v>
          </cell>
          <cell r="B654" t="str">
            <v>VAR_fout</v>
          </cell>
          <cell r="C654" t="str">
            <v>TPBSu</v>
          </cell>
          <cell r="H654">
            <v>0.11641527335743844</v>
          </cell>
          <cell r="I654">
            <v>0.11319166420893251</v>
          </cell>
          <cell r="J654">
            <v>0.12635213596171341</v>
          </cell>
        </row>
        <row r="655">
          <cell r="A655" t="str">
            <v>T_B_u-BEVELC-S1</v>
          </cell>
          <cell r="B655" t="str">
            <v>VAR_fin</v>
          </cell>
          <cell r="C655" t="str">
            <v>T-ELC-Bus_u_BatSTGout_S1</v>
          </cell>
          <cell r="H655">
            <v>0.24723391117669316</v>
          </cell>
          <cell r="I655">
            <v>0.23960130313740388</v>
          </cell>
          <cell r="J655">
            <v>0.23798469854506352</v>
          </cell>
        </row>
        <row r="656">
          <cell r="A656" t="str">
            <v>T_B_u-BEVELC-S1</v>
          </cell>
          <cell r="B656" t="str">
            <v>VAR_ncap</v>
          </cell>
          <cell r="C656" t="str">
            <v>-</v>
          </cell>
          <cell r="H656">
            <v>2.5580626160349599E-3</v>
          </cell>
          <cell r="I656">
            <v>1.3215190943212499E-4</v>
          </cell>
          <cell r="J656">
            <v>2.0275504124143999E-3</v>
          </cell>
        </row>
        <row r="657">
          <cell r="A657" t="str">
            <v>T_B_u-BEVELC-S1</v>
          </cell>
          <cell r="B657" t="str">
            <v>VAR_cap</v>
          </cell>
          <cell r="C657" t="str">
            <v>-</v>
          </cell>
          <cell r="H657">
            <v>2.5771553091794601E-3</v>
          </cell>
          <cell r="I657">
            <v>2.5068827631852426E-3</v>
          </cell>
          <cell r="J657">
            <v>2.5101262650189856E-3</v>
          </cell>
        </row>
        <row r="658">
          <cell r="A658" t="str">
            <v>TPSHPH2OEXT</v>
          </cell>
          <cell r="B658" t="str">
            <v>VAR_fout</v>
          </cell>
          <cell r="C658" t="str">
            <v>TPSHP</v>
          </cell>
          <cell r="H658">
            <v>1.9948887783370601E-4</v>
          </cell>
          <cell r="I658">
            <v>0.16151150525182301</v>
          </cell>
          <cell r="J658">
            <v>0.16151514953669399</v>
          </cell>
        </row>
        <row r="659">
          <cell r="A659" t="str">
            <v>TPSHPH2OEXT</v>
          </cell>
          <cell r="B659" t="str">
            <v>VAR_fin</v>
          </cell>
          <cell r="C659" t="str">
            <v>TH2O</v>
          </cell>
          <cell r="H659">
            <v>1.1123016218606573E-4</v>
          </cell>
          <cell r="I659">
            <v>9.0054899897986485E-2</v>
          </cell>
          <cell r="J659">
            <v>9.0056931862883507E-2</v>
          </cell>
        </row>
        <row r="660">
          <cell r="A660" t="str">
            <v>TPSHPH2OEXT</v>
          </cell>
          <cell r="B660" t="str">
            <v>VAR_ncap</v>
          </cell>
          <cell r="C660" t="str">
            <v>-</v>
          </cell>
          <cell r="H660">
            <v>2.0163164824621801E-4</v>
          </cell>
          <cell r="I660">
            <v>0.161314029232654</v>
          </cell>
          <cell r="J660">
            <v>3.1461146056986603E-5</v>
          </cell>
        </row>
        <row r="661">
          <cell r="A661" t="str">
            <v>TPSHPH2OEXT</v>
          </cell>
          <cell r="B661" t="str">
            <v>VAR_cap</v>
          </cell>
          <cell r="C661" t="str">
            <v>-</v>
          </cell>
          <cell r="H661">
            <v>2.0163164824621801E-4</v>
          </cell>
          <cell r="I661">
            <v>0.16151397479948573</v>
          </cell>
          <cell r="J661">
            <v>0.1614991721251072</v>
          </cell>
        </row>
        <row r="662">
          <cell r="A662" t="str">
            <v>T_B_u-BEVELC-S2</v>
          </cell>
          <cell r="B662" t="str">
            <v>VAR_fout</v>
          </cell>
          <cell r="C662" t="str">
            <v>TPBSu</v>
          </cell>
          <cell r="H662">
            <v>3.7855990034848949E-2</v>
          </cell>
          <cell r="I662">
            <v>4.4020953022450682E-2</v>
          </cell>
          <cell r="J662">
            <v>4.7199022813989015E-2</v>
          </cell>
        </row>
        <row r="663">
          <cell r="A663" t="str">
            <v>T_B_u-BEVELC-S2</v>
          </cell>
          <cell r="B663" t="str">
            <v>VAR_fin</v>
          </cell>
          <cell r="C663" t="str">
            <v>T-ELC-Bus_u_BatSTGout_S2</v>
          </cell>
          <cell r="H663">
            <v>0.11111488939123114</v>
          </cell>
          <cell r="I663">
            <v>0.12796626939880817</v>
          </cell>
          <cell r="J663">
            <v>0.12360525430814054</v>
          </cell>
        </row>
        <row r="664">
          <cell r="A664" t="str">
            <v>T_B_u-BEVELC-S2</v>
          </cell>
          <cell r="B664" t="str">
            <v>VAR_ncap</v>
          </cell>
          <cell r="C664" t="str">
            <v>-</v>
          </cell>
          <cell r="H664">
            <v>6.9053475732815204E-4</v>
          </cell>
          <cell r="I664">
            <v>1.3762392831533199E-4</v>
          </cell>
          <cell r="J664">
            <v>7.0049600913920003E-4</v>
          </cell>
        </row>
        <row r="665">
          <cell r="A665" t="str">
            <v>T_B_u-BEVELC-S2</v>
          </cell>
          <cell r="B665" t="str">
            <v>VAR_cap</v>
          </cell>
          <cell r="C665" t="str">
            <v>-</v>
          </cell>
          <cell r="H665">
            <v>7.1519682748003412E-4</v>
          </cell>
          <cell r="I665">
            <v>8.3119657457820715E-4</v>
          </cell>
          <cell r="J665">
            <v>8.9067720266064519E-4</v>
          </cell>
        </row>
        <row r="666">
          <cell r="A666" t="str">
            <v>TFHGV-ICEDSL</v>
          </cell>
          <cell r="B666" t="str">
            <v>VAR_fout</v>
          </cell>
          <cell r="C666" t="str">
            <v>CO2_T</v>
          </cell>
          <cell r="H666">
            <v>0.13220372040798251</v>
          </cell>
          <cell r="I666">
            <v>0.13458144204565659</v>
          </cell>
          <cell r="J666">
            <v>1.2043012009910901E-2</v>
          </cell>
        </row>
        <row r="667">
          <cell r="A667" t="str">
            <v>TFHGV-ICEDSL</v>
          </cell>
          <cell r="B667" t="str">
            <v>VAR_fout</v>
          </cell>
          <cell r="C667" t="str">
            <v>TFHGV</v>
          </cell>
          <cell r="H667">
            <v>2.1409340113625225E-4</v>
          </cell>
          <cell r="I667">
            <v>2.1794393205016316E-4</v>
          </cell>
          <cell r="J667">
            <v>1.9502699267235537E-5</v>
          </cell>
        </row>
        <row r="668">
          <cell r="A668" t="str">
            <v>TFHGV-ICEDSL</v>
          </cell>
          <cell r="B668" t="str">
            <v>VAR_fin</v>
          </cell>
          <cell r="C668" t="str">
            <v>TDSL</v>
          </cell>
          <cell r="H668">
            <v>1.8035978227555539E-3</v>
          </cell>
          <cell r="I668">
            <v>1.8360360442790801E-3</v>
          </cell>
          <cell r="J668">
            <v>1.6429757175867579E-4</v>
          </cell>
        </row>
        <row r="669">
          <cell r="A669" t="str">
            <v>TFHGV-ICEDSL</v>
          </cell>
          <cell r="B669" t="str">
            <v>VAR_ncap</v>
          </cell>
          <cell r="C669" t="str">
            <v>-</v>
          </cell>
          <cell r="H669">
            <v>4.0626101608745898E-6</v>
          </cell>
          <cell r="I669">
            <v>2.5040539324080501E-6</v>
          </cell>
        </row>
        <row r="670">
          <cell r="A670" t="str">
            <v>TFHGV-ICEDSL</v>
          </cell>
          <cell r="B670" t="str">
            <v>VAR_cap</v>
          </cell>
          <cell r="C670" t="str">
            <v>-</v>
          </cell>
          <cell r="H670">
            <v>4.7628797295381397E-6</v>
          </cell>
          <cell r="I670">
            <v>5.1663370181551928E-6</v>
          </cell>
          <cell r="J670">
            <v>4.3943300987866203E-7</v>
          </cell>
        </row>
        <row r="671">
          <cell r="A671" t="str">
            <v>D-T-ELC-Bus_u_S1</v>
          </cell>
          <cell r="B671" t="str">
            <v>VAR_fout</v>
          </cell>
          <cell r="C671" t="str">
            <v>T-ELC-Bus_u_BatSTGin_S1</v>
          </cell>
          <cell r="H671">
            <v>0.247844842215761</v>
          </cell>
          <cell r="I671">
            <v>0.24007723771395953</v>
          </cell>
          <cell r="J671">
            <v>0.23831662968046571</v>
          </cell>
        </row>
        <row r="672">
          <cell r="A672" t="str">
            <v>D-T-ELC-Bus_u_S1</v>
          </cell>
          <cell r="B672" t="str">
            <v>VAR_fin</v>
          </cell>
          <cell r="C672" t="str">
            <v>TELC</v>
          </cell>
          <cell r="H672">
            <v>0.247844842215761</v>
          </cell>
          <cell r="I672">
            <v>0.24007723771395953</v>
          </cell>
          <cell r="J672">
            <v>0.23831662968046571</v>
          </cell>
        </row>
        <row r="673">
          <cell r="A673" t="str">
            <v>D-T-ELC-Bus_u_S1</v>
          </cell>
          <cell r="B673" t="str">
            <v>VAR_ncap</v>
          </cell>
          <cell r="C673" t="str">
            <v>-</v>
          </cell>
          <cell r="H673">
            <v>1.2727626352327099E-3</v>
          </cell>
          <cell r="I673">
            <v>1.97515765503599E-2</v>
          </cell>
          <cell r="J673">
            <v>1.5061769318873401E-2</v>
          </cell>
        </row>
        <row r="674">
          <cell r="A674" t="str">
            <v>D-T-ELC-Bus_u_S1</v>
          </cell>
          <cell r="B674" t="str">
            <v>VAR_cap</v>
          </cell>
          <cell r="C674" t="str">
            <v>-</v>
          </cell>
          <cell r="H674">
            <v>2.6208100477006099E-2</v>
          </cell>
          <cell r="I674">
            <v>2.5381658755998002E-2</v>
          </cell>
          <cell r="J674">
            <v>2.5190644823477101E-2</v>
          </cell>
        </row>
        <row r="675">
          <cell r="A675" t="str">
            <v>T-Plg-DSL-mix_S1</v>
          </cell>
          <cell r="B675" t="str">
            <v>VAR_fout</v>
          </cell>
          <cell r="C675" t="str">
            <v>CO2_T</v>
          </cell>
          <cell r="H675">
            <v>0.57758315965263696</v>
          </cell>
          <cell r="I675">
            <v>0.28369358318849058</v>
          </cell>
          <cell r="J675">
            <v>3.2996780902866001E-2</v>
          </cell>
        </row>
        <row r="676">
          <cell r="A676" t="str">
            <v>T-Plg-DSL-mix_S1</v>
          </cell>
          <cell r="B676" t="str">
            <v>VAR_fout</v>
          </cell>
          <cell r="C676" t="str">
            <v>T-PEVmix-ELC_DSL_S1</v>
          </cell>
          <cell r="H676">
            <v>5.7396297858650783E-3</v>
          </cell>
          <cell r="I676">
            <v>2.9488336727564696E-3</v>
          </cell>
          <cell r="J676">
            <v>3.5732368733516035E-4</v>
          </cell>
        </row>
        <row r="677">
          <cell r="A677" t="str">
            <v>T-Plg-DSL-mix_S1</v>
          </cell>
          <cell r="B677" t="str">
            <v>VAR_fin</v>
          </cell>
          <cell r="C677" t="str">
            <v>TDSL</v>
          </cell>
          <cell r="H677">
            <v>7.8797156842106038E-3</v>
          </cell>
          <cell r="I677">
            <v>3.8703080926124267E-3</v>
          </cell>
          <cell r="J677">
            <v>4.5016072173077699E-4</v>
          </cell>
        </row>
        <row r="678">
          <cell r="A678" t="str">
            <v>T_B_u-BEVELC-S3</v>
          </cell>
          <cell r="B678" t="str">
            <v>VAR_fout</v>
          </cell>
          <cell r="C678" t="str">
            <v>TPBSu</v>
          </cell>
          <cell r="H678">
            <v>0.10076393760319366</v>
          </cell>
          <cell r="I678">
            <v>0.19311810453921491</v>
          </cell>
          <cell r="J678">
            <v>0.20652960023812056</v>
          </cell>
        </row>
        <row r="679">
          <cell r="A679" t="str">
            <v>T_B_u-BEVELC-S3</v>
          </cell>
          <cell r="B679" t="str">
            <v>VAR_fin</v>
          </cell>
          <cell r="C679" t="str">
            <v>T-ELC-Bus_u_BatSTGout_S3</v>
          </cell>
          <cell r="H679">
            <v>0.44308052622613142</v>
          </cell>
          <cell r="I679">
            <v>0.82889357674501474</v>
          </cell>
          <cell r="J679">
            <v>0.79962819784092776</v>
          </cell>
        </row>
        <row r="680">
          <cell r="A680" t="str">
            <v>T_B_u-BEVELC-S3</v>
          </cell>
          <cell r="B680" t="str">
            <v>VAR_ncap</v>
          </cell>
          <cell r="C680" t="str">
            <v>-</v>
          </cell>
          <cell r="H680">
            <v>1.88005340030374E-3</v>
          </cell>
          <cell r="I680">
            <v>1.7618467054724999E-3</v>
          </cell>
          <cell r="J680">
            <v>3.2911677400006001E-3</v>
          </cell>
        </row>
        <row r="681">
          <cell r="A681" t="str">
            <v>T_B_u-BEVELC-S3</v>
          </cell>
          <cell r="B681" t="str">
            <v>VAR_cap</v>
          </cell>
          <cell r="C681" t="str">
            <v>-</v>
          </cell>
          <cell r="H681">
            <v>1.9004535996841913E-3</v>
          </cell>
          <cell r="I681">
            <v>3.6419001057762402E-3</v>
          </cell>
          <cell r="J681">
            <v>3.8946376701314502E-3</v>
          </cell>
        </row>
        <row r="682">
          <cell r="A682" t="str">
            <v>D-T-ELC-Bus_u_S2</v>
          </cell>
          <cell r="B682" t="str">
            <v>VAR_fout</v>
          </cell>
          <cell r="C682" t="str">
            <v>T-ELC-Bus_u_BatSTGin_S2</v>
          </cell>
          <cell r="H682">
            <v>0.11165181809998395</v>
          </cell>
          <cell r="I682">
            <v>0.12839892999754082</v>
          </cell>
          <cell r="J682">
            <v>0.12390422005080733</v>
          </cell>
        </row>
        <row r="683">
          <cell r="A683" t="str">
            <v>D-T-ELC-Bus_u_S2</v>
          </cell>
          <cell r="B683" t="str">
            <v>VAR_fin</v>
          </cell>
          <cell r="C683" t="str">
            <v>TELC</v>
          </cell>
          <cell r="H683">
            <v>0.11165181809998395</v>
          </cell>
          <cell r="I683">
            <v>0.12839892999754082</v>
          </cell>
          <cell r="J683">
            <v>0.12390422005080733</v>
          </cell>
        </row>
        <row r="684">
          <cell r="A684" t="str">
            <v>D-T-ELC-Bus_u_S2</v>
          </cell>
          <cell r="B684" t="str">
            <v>VAR_ncap</v>
          </cell>
          <cell r="C684" t="str">
            <v>-</v>
          </cell>
          <cell r="H684">
            <v>4.4795767556919802E-3</v>
          </cell>
          <cell r="I684">
            <v>7.8451450477588901E-3</v>
          </cell>
          <cell r="J684">
            <v>8.37762785333406E-3</v>
          </cell>
        </row>
        <row r="685">
          <cell r="A685" t="str">
            <v>D-T-ELC-Bus_u_S2</v>
          </cell>
          <cell r="B685" t="str">
            <v>VAR_cap</v>
          </cell>
          <cell r="C685" t="str">
            <v>-</v>
          </cell>
          <cell r="H685">
            <v>1.1814494826485699E-2</v>
          </cell>
          <cell r="I685">
            <v>1.35793678477663E-2</v>
          </cell>
          <cell r="J685">
            <v>1.3098124411581501E-2</v>
          </cell>
        </row>
        <row r="686">
          <cell r="A686" t="str">
            <v>T-Plg-DSL-mix_S2</v>
          </cell>
          <cell r="B686" t="str">
            <v>VAR_fout</v>
          </cell>
          <cell r="C686" t="str">
            <v>CO2_T</v>
          </cell>
          <cell r="H686">
            <v>2.4081222067553383</v>
          </cell>
          <cell r="I686">
            <v>1.4663709838044141</v>
          </cell>
          <cell r="J686">
            <v>0.25805706189933669</v>
          </cell>
        </row>
        <row r="687">
          <cell r="A687" t="str">
            <v>T-Plg-DSL-mix_S2</v>
          </cell>
          <cell r="B687" t="str">
            <v>VAR_fout</v>
          </cell>
          <cell r="C687" t="str">
            <v>T-PEVmix-ELC_DSL_S2</v>
          </cell>
          <cell r="H687">
            <v>1.9564729987987393E-2</v>
          </cell>
          <cell r="I687">
            <v>1.2574001100195017E-2</v>
          </cell>
          <cell r="J687">
            <v>2.3211961780187219E-3</v>
          </cell>
        </row>
        <row r="688">
          <cell r="A688" t="str">
            <v>T-Plg-DSL-mix_S2</v>
          </cell>
          <cell r="B688" t="str">
            <v>VAR_fin</v>
          </cell>
          <cell r="C688" t="str">
            <v>TDSL</v>
          </cell>
          <cell r="H688">
            <v>3.2852963257235156E-2</v>
          </cell>
          <cell r="I688">
            <v>2.0005061170592323E-2</v>
          </cell>
          <cell r="J688">
            <v>3.5205601896225931E-3</v>
          </cell>
        </row>
        <row r="689">
          <cell r="A689" t="str">
            <v>T_B_u-BEVELC-S4</v>
          </cell>
          <cell r="B689" t="str">
            <v>VAR_fout</v>
          </cell>
          <cell r="C689" t="str">
            <v>TPBSu</v>
          </cell>
          <cell r="H689">
            <v>4.2099741342553559E-5</v>
          </cell>
          <cell r="I689">
            <v>3.7169826793695922E-5</v>
          </cell>
          <cell r="J689">
            <v>2.6645984447651043E-5</v>
          </cell>
        </row>
        <row r="690">
          <cell r="A690" t="str">
            <v>T_B_u-BEVELC-S4</v>
          </cell>
          <cell r="B690" t="str">
            <v>VAR_fin</v>
          </cell>
          <cell r="C690" t="str">
            <v>T-ELC-Bus_u_BatSTGout_S4</v>
          </cell>
          <cell r="H690">
            <v>2.8032039640757465E-4</v>
          </cell>
          <cell r="I690">
            <v>2.3710350826181963E-4</v>
          </cell>
          <cell r="J690">
            <v>1.5713120395354795E-4</v>
          </cell>
        </row>
        <row r="691">
          <cell r="A691" t="str">
            <v>T_B_u-BEVELC-S4</v>
          </cell>
          <cell r="B691" t="str">
            <v>VAR_ncap</v>
          </cell>
          <cell r="C691" t="str">
            <v>-</v>
          </cell>
          <cell r="H691">
            <v>9.9066238066310695E-7</v>
          </cell>
          <cell r="I691">
            <v>9.5793578992639897E-7</v>
          </cell>
          <cell r="J691">
            <v>4.059091998458E-7</v>
          </cell>
        </row>
        <row r="692">
          <cell r="A692" t="str">
            <v>T_B_u-BEVELC-S4</v>
          </cell>
          <cell r="B692" t="str">
            <v>VAR_cap</v>
          </cell>
          <cell r="C692" t="str">
            <v>-</v>
          </cell>
          <cell r="H692">
            <v>1.14261218303928E-6</v>
          </cell>
          <cell r="I692">
            <v>1.276714075790976E-6</v>
          </cell>
          <cell r="J692">
            <v>5.702978884611451E-7</v>
          </cell>
        </row>
        <row r="693">
          <cell r="A693" t="str">
            <v>D-TBDS1</v>
          </cell>
          <cell r="B693" t="str">
            <v>VAR_fout</v>
          </cell>
          <cell r="C693" t="str">
            <v>TDSL</v>
          </cell>
          <cell r="H693">
            <v>2.9738009332588047</v>
          </cell>
          <cell r="I693">
            <v>2.9741548861994982</v>
          </cell>
          <cell r="J693">
            <v>1.4852167907461618</v>
          </cell>
        </row>
        <row r="694">
          <cell r="A694" t="str">
            <v>D-TBDS1</v>
          </cell>
          <cell r="B694" t="str">
            <v>VAR_fout</v>
          </cell>
          <cell r="C694" t="str">
            <v>TKER</v>
          </cell>
          <cell r="H694">
            <v>4.39198126745932E-3</v>
          </cell>
          <cell r="I694">
            <v>3.3099507974889701E-3</v>
          </cell>
          <cell r="J694">
            <v>1.6907798581354101</v>
          </cell>
        </row>
        <row r="695">
          <cell r="A695" t="str">
            <v>D-TBDS1</v>
          </cell>
          <cell r="B695" t="str">
            <v>VAR_fin</v>
          </cell>
          <cell r="C695" t="str">
            <v>BDS</v>
          </cell>
          <cell r="H695">
            <v>3.0226135947224648</v>
          </cell>
          <cell r="I695">
            <v>3.0218698934513553</v>
          </cell>
          <cell r="J695">
            <v>3.2233632491052555</v>
          </cell>
        </row>
        <row r="696">
          <cell r="A696" t="str">
            <v>D-T-ELC-Bus_u_S3</v>
          </cell>
          <cell r="B696" t="str">
            <v>VAR_fout</v>
          </cell>
          <cell r="C696" t="str">
            <v>T-ELC-Bus_u_BatSTGin_S3</v>
          </cell>
          <cell r="H696">
            <v>0.44331098272012687</v>
          </cell>
          <cell r="I696">
            <v>0.82914650126639322</v>
          </cell>
          <cell r="J696">
            <v>0.79983643525460424</v>
          </cell>
        </row>
        <row r="697">
          <cell r="A697" t="str">
            <v>D-T-ELC-Bus_u_S3</v>
          </cell>
          <cell r="B697" t="str">
            <v>VAR_fin</v>
          </cell>
          <cell r="C697" t="str">
            <v>TELC</v>
          </cell>
          <cell r="H697">
            <v>0.44331098272012687</v>
          </cell>
          <cell r="I697">
            <v>0.82914650126639322</v>
          </cell>
          <cell r="J697">
            <v>0.79983643525460424</v>
          </cell>
        </row>
        <row r="698">
          <cell r="A698" t="str">
            <v>D-T-ELC-Bus_u_S3</v>
          </cell>
          <cell r="B698" t="str">
            <v>VAR_ncap</v>
          </cell>
          <cell r="C698" t="str">
            <v>-</v>
          </cell>
          <cell r="H698">
            <v>4.6544743064531303E-2</v>
          </cell>
          <cell r="I698">
            <v>4.1097214582737997E-2</v>
          </cell>
          <cell r="J698">
            <v>7.0465321786630494E-2</v>
          </cell>
        </row>
        <row r="699">
          <cell r="A699" t="str">
            <v>D-T-ELC-Bus_u_S3</v>
          </cell>
          <cell r="B699" t="str">
            <v>VAR_cap</v>
          </cell>
          <cell r="C699" t="str">
            <v>-</v>
          </cell>
          <cell r="H699">
            <v>4.68582721047009E-2</v>
          </cell>
          <cell r="I699">
            <v>8.76419576472693E-2</v>
          </cell>
          <cell r="J699">
            <v>8.4541990963229702E-2</v>
          </cell>
        </row>
        <row r="700">
          <cell r="A700" t="str">
            <v>T-Plg-DSL-mix_S3</v>
          </cell>
          <cell r="B700" t="str">
            <v>VAR_fout</v>
          </cell>
          <cell r="C700" t="str">
            <v>CO2_T</v>
          </cell>
          <cell r="H700">
            <v>644.62361478323464</v>
          </cell>
          <cell r="I700">
            <v>264.69589903359042</v>
          </cell>
          <cell r="J700">
            <v>40.232943054231697</v>
          </cell>
        </row>
        <row r="701">
          <cell r="A701" t="str">
            <v>T-Plg-DSL-mix_S3</v>
          </cell>
          <cell r="B701" t="str">
            <v>VAR_fout</v>
          </cell>
          <cell r="C701" t="str">
            <v>T-PEVmix-ELC_DSL_S3</v>
          </cell>
          <cell r="H701">
            <v>4.8683850632367038</v>
          </cell>
          <cell r="I701">
            <v>2.1172142473324267</v>
          </cell>
          <cell r="J701">
            <v>0.33975019091266101</v>
          </cell>
        </row>
        <row r="702">
          <cell r="A702" t="str">
            <v>T-Plg-DSL-mix_S3</v>
          </cell>
          <cell r="B702" t="str">
            <v>VAR_fin</v>
          </cell>
          <cell r="C702" t="str">
            <v>TDSL</v>
          </cell>
          <cell r="H702">
            <v>8.7943194376976113</v>
          </cell>
          <cell r="I702">
            <v>3.6111309554377939</v>
          </cell>
          <cell r="J702">
            <v>0.54888053279988691</v>
          </cell>
        </row>
        <row r="703">
          <cell r="A703" t="str">
            <v>D-T-ELC-Bus_u_S4</v>
          </cell>
          <cell r="B703" t="str">
            <v>VAR_fout</v>
          </cell>
          <cell r="C703" t="str">
            <v>T-ELC-Bus_u_BatSTGin_S4</v>
          </cell>
          <cell r="H703">
            <v>7.1248728831480772E-4</v>
          </cell>
          <cell r="I703">
            <v>7.4719721711554712E-4</v>
          </cell>
          <cell r="J703">
            <v>4.6793054024228312E-4</v>
          </cell>
        </row>
        <row r="704">
          <cell r="A704" t="str">
            <v>D-T-ELC-Bus_u_S4</v>
          </cell>
          <cell r="B704" t="str">
            <v>VAR_fin</v>
          </cell>
          <cell r="C704" t="str">
            <v>TELC</v>
          </cell>
          <cell r="H704">
            <v>7.1248728831480772E-4</v>
          </cell>
          <cell r="I704">
            <v>7.4719721711554712E-4</v>
          </cell>
          <cell r="J704">
            <v>4.6793054024228312E-4</v>
          </cell>
        </row>
        <row r="705">
          <cell r="A705" t="str">
            <v>D-T-ELC-Bus_u_S4</v>
          </cell>
          <cell r="B705" t="str">
            <v>VAR_ncap</v>
          </cell>
          <cell r="C705" t="str">
            <v>-</v>
          </cell>
          <cell r="H705">
            <v>1.4265924545440301E-4</v>
          </cell>
          <cell r="I705">
            <v>1.67505030144222E-4</v>
          </cell>
          <cell r="J705">
            <v>6.2298285572508002E-5</v>
          </cell>
        </row>
        <row r="706">
          <cell r="A706" t="str">
            <v>D-T-ELC-Bus_u_S4</v>
          </cell>
          <cell r="B706" t="str">
            <v>VAR_cap</v>
          </cell>
          <cell r="C706" t="str">
            <v>-</v>
          </cell>
          <cell r="H706">
            <v>1.76134325962194E-4</v>
          </cell>
          <cell r="I706">
            <v>2.64939341735401E-4</v>
          </cell>
          <cell r="J706">
            <v>9.1693514889835999E-5</v>
          </cell>
        </row>
        <row r="707">
          <cell r="A707" t="str">
            <v>T_C-FC-H2O-S1</v>
          </cell>
          <cell r="B707" t="str">
            <v>VAR_fout</v>
          </cell>
          <cell r="C707" t="str">
            <v>TPCAR</v>
          </cell>
          <cell r="H707">
            <v>3.1761885985288915E-5</v>
          </cell>
          <cell r="I707">
            <v>3.1274053752244225E-5</v>
          </cell>
          <cell r="J707">
            <v>2.6709006214706377E-5</v>
          </cell>
        </row>
        <row r="708">
          <cell r="A708" t="str">
            <v>T_C-FC-H2O-S1</v>
          </cell>
          <cell r="B708" t="str">
            <v>VAR_fin</v>
          </cell>
          <cell r="C708" t="str">
            <v>TH2O</v>
          </cell>
          <cell r="H708">
            <v>2.8368749648007769E-5</v>
          </cell>
          <cell r="I708">
            <v>2.6228441125740726E-5</v>
          </cell>
          <cell r="J708">
            <v>2.0357817035839072E-5</v>
          </cell>
        </row>
        <row r="709">
          <cell r="A709" t="str">
            <v>T_C-FC-H2O-S1</v>
          </cell>
          <cell r="B709" t="str">
            <v>VAR_ncap</v>
          </cell>
          <cell r="C709" t="str">
            <v>-</v>
          </cell>
          <cell r="H709">
            <v>1.2461400678052501E-6</v>
          </cell>
          <cell r="I709">
            <v>2.2561319610903201E-6</v>
          </cell>
          <cell r="J709">
            <v>2.1716945166462899E-6</v>
          </cell>
        </row>
        <row r="710">
          <cell r="A710" t="str">
            <v>T_C-FC-H2O-S1</v>
          </cell>
          <cell r="B710" t="str">
            <v>VAR_cap</v>
          </cell>
          <cell r="C710" t="str">
            <v>-</v>
          </cell>
          <cell r="H710">
            <v>3.4642905165852798E-6</v>
          </cell>
          <cell r="I710">
            <v>3.8035682967733666E-6</v>
          </cell>
          <cell r="J710">
            <v>3.2995230468329691E-6</v>
          </cell>
        </row>
        <row r="711">
          <cell r="A711" t="str">
            <v>T_B_c-ICEDSL-S1</v>
          </cell>
          <cell r="B711" t="str">
            <v>VAR_fout</v>
          </cell>
          <cell r="C711" t="str">
            <v>CO2_T</v>
          </cell>
          <cell r="H711">
            <v>3.126854039310675</v>
          </cell>
          <cell r="I711">
            <v>3.0538847881282964</v>
          </cell>
          <cell r="J711">
            <v>1.6313524342437773</v>
          </cell>
        </row>
        <row r="712">
          <cell r="A712" t="str">
            <v>T_B_c-ICEDSL-S1</v>
          </cell>
          <cell r="B712" t="str">
            <v>VAR_fout</v>
          </cell>
          <cell r="C712" t="str">
            <v>TPBSc</v>
          </cell>
          <cell r="H712">
            <v>5.9081907480836356E-3</v>
          </cell>
          <cell r="I712">
            <v>6.7647791098824021E-3</v>
          </cell>
          <cell r="J712">
            <v>3.6206919074820445E-3</v>
          </cell>
        </row>
        <row r="713">
          <cell r="A713" t="str">
            <v>T_B_c-ICEDSL-S1</v>
          </cell>
          <cell r="B713" t="str">
            <v>VAR_fin</v>
          </cell>
          <cell r="C713" t="str">
            <v>TDSL</v>
          </cell>
          <cell r="H713">
            <v>4.2658308858262939E-2</v>
          </cell>
          <cell r="I713">
            <v>4.1662821120440667E-2</v>
          </cell>
          <cell r="J713">
            <v>2.2255831299369404E-2</v>
          </cell>
        </row>
        <row r="714">
          <cell r="A714" t="str">
            <v>T_B_c-ICEDSL-S1</v>
          </cell>
          <cell r="B714" t="str">
            <v>VAR_ncap</v>
          </cell>
          <cell r="C714" t="str">
            <v>-</v>
          </cell>
          <cell r="H714">
            <v>5.9981722629059703E-6</v>
          </cell>
          <cell r="I714">
            <v>1.55396700951144E-4</v>
          </cell>
        </row>
        <row r="715">
          <cell r="A715" t="str">
            <v>T_B_c-ICEDSL-S1</v>
          </cell>
          <cell r="B715" t="str">
            <v>VAR_cap</v>
          </cell>
          <cell r="C715" t="str">
            <v>-</v>
          </cell>
          <cell r="H715">
            <v>1.3257778021689786E-4</v>
          </cell>
          <cell r="I715">
            <v>1.6207971705751531E-4</v>
          </cell>
          <cell r="J715">
            <v>7.8839638044493564E-5</v>
          </cell>
        </row>
        <row r="716">
          <cell r="A716" t="str">
            <v>T-Plg-DSL-mix_S4</v>
          </cell>
          <cell r="B716" t="str">
            <v>VAR_fout</v>
          </cell>
          <cell r="C716" t="str">
            <v>CO2_T</v>
          </cell>
          <cell r="H716">
            <v>2.6237109601055302</v>
          </cell>
          <cell r="I716">
            <v>0.95968274437635714</v>
          </cell>
          <cell r="J716">
            <v>0.13907839294916299</v>
          </cell>
        </row>
        <row r="717">
          <cell r="A717" t="str">
            <v>T-Plg-DSL-mix_S4</v>
          </cell>
          <cell r="B717" t="str">
            <v>VAR_fout</v>
          </cell>
          <cell r="C717" t="str">
            <v>T-PEVmix-ELC_DSL_S4</v>
          </cell>
          <cell r="H717">
            <v>1.8863460702133246E-2</v>
          </cell>
          <cell r="I717">
            <v>7.2518126926806115E-3</v>
          </cell>
          <cell r="J717">
            <v>1.0961232266345855E-3</v>
          </cell>
        </row>
        <row r="718">
          <cell r="A718" t="str">
            <v>T-Plg-DSL-mix_S4</v>
          </cell>
          <cell r="B718" t="str">
            <v>VAR_fin</v>
          </cell>
          <cell r="C718" t="str">
            <v>TDSL</v>
          </cell>
          <cell r="H718">
            <v>3.5794146795437118E-2</v>
          </cell>
          <cell r="I718">
            <v>1.3092534029691091E-2</v>
          </cell>
          <cell r="J718">
            <v>1.8973859883923956E-3</v>
          </cell>
        </row>
        <row r="719">
          <cell r="A719" t="str">
            <v>T_C-FC-H2O-S2</v>
          </cell>
          <cell r="B719" t="str">
            <v>VAR_fout</v>
          </cell>
          <cell r="C719" t="str">
            <v>TPCAR</v>
          </cell>
          <cell r="H719">
            <v>4.4076341482018934E-5</v>
          </cell>
          <cell r="I719">
            <v>4.2730391344055366E-5</v>
          </cell>
          <cell r="J719">
            <v>4.2049110715354911E-5</v>
          </cell>
        </row>
        <row r="720">
          <cell r="A720" t="str">
            <v>T_C-FC-H2O-S2</v>
          </cell>
          <cell r="B720" t="str">
            <v>VAR_fin</v>
          </cell>
          <cell r="C720" t="str">
            <v>TH2O</v>
          </cell>
          <cell r="H720">
            <v>4.8402035587598652E-5</v>
          </cell>
          <cell r="I720">
            <v>4.4039830144685154E-5</v>
          </cell>
          <cell r="J720">
            <v>3.9026014338486258E-5</v>
          </cell>
        </row>
        <row r="721">
          <cell r="A721" t="str">
            <v>T_C-FC-H2O-S2</v>
          </cell>
          <cell r="B721" t="str">
            <v>VAR_ncap</v>
          </cell>
          <cell r="C721" t="str">
            <v>-</v>
          </cell>
          <cell r="H721">
            <v>1.13352069795679E-6</v>
          </cell>
          <cell r="I721">
            <v>1.9011516385099799E-6</v>
          </cell>
          <cell r="J721">
            <v>2.2540099969543598E-6</v>
          </cell>
        </row>
        <row r="722">
          <cell r="A722" t="str">
            <v>T_C-FC-H2O-S2</v>
          </cell>
          <cell r="B722" t="str">
            <v>VAR_cap</v>
          </cell>
          <cell r="C722" t="str">
            <v>-</v>
          </cell>
          <cell r="H722">
            <v>3.159465123226781E-6</v>
          </cell>
          <cell r="I722">
            <v>3.2582848814959843E-6</v>
          </cell>
          <cell r="J722">
            <v>3.1681045545594602E-6</v>
          </cell>
        </row>
        <row r="723">
          <cell r="A723" t="str">
            <v>T_B_c-ICEDSL-S2</v>
          </cell>
          <cell r="B723" t="str">
            <v>VAR_fout</v>
          </cell>
          <cell r="C723" t="str">
            <v>CO2_T</v>
          </cell>
          <cell r="H723">
            <v>19.241387373250738</v>
          </cell>
          <cell r="I723">
            <v>0.1928012444904201</v>
          </cell>
          <cell r="J723">
            <v>5.4751918770299196E-2</v>
          </cell>
        </row>
        <row r="724">
          <cell r="A724" t="str">
            <v>T_B_c-ICEDSL-S2</v>
          </cell>
          <cell r="B724" t="str">
            <v>VAR_fout</v>
          </cell>
          <cell r="C724" t="str">
            <v>TPBSc</v>
          </cell>
          <cell r="H724">
            <v>2.6796695732237905E-2</v>
          </cell>
          <cell r="I724">
            <v>2.8698875604053363E-4</v>
          </cell>
          <cell r="J724">
            <v>8.3764212120606554E-5</v>
          </cell>
        </row>
        <row r="725">
          <cell r="A725" t="str">
            <v>T_B_c-ICEDSL-S2</v>
          </cell>
          <cell r="B725" t="str">
            <v>VAR_fin</v>
          </cell>
          <cell r="C725" t="str">
            <v>TDSL</v>
          </cell>
          <cell r="H725">
            <v>0.2625018741234757</v>
          </cell>
          <cell r="I725">
            <v>2.6303034719020466E-3</v>
          </cell>
          <cell r="J725">
            <v>7.4695659986765545E-4</v>
          </cell>
        </row>
        <row r="726">
          <cell r="A726" t="str">
            <v>T_B_c-ICEDSL-S2</v>
          </cell>
          <cell r="B726" t="str">
            <v>VAR_ncap</v>
          </cell>
          <cell r="C726" t="str">
            <v>-</v>
          </cell>
          <cell r="H726">
            <v>2.5215573944080898E-6</v>
          </cell>
          <cell r="I726">
            <v>2.7921306299802398E-6</v>
          </cell>
        </row>
        <row r="727">
          <cell r="A727" t="str">
            <v>T_B_c-ICEDSL-S2</v>
          </cell>
          <cell r="B727" t="str">
            <v>VAR_cap</v>
          </cell>
          <cell r="C727" t="str">
            <v>-</v>
          </cell>
          <cell r="H727">
            <v>5.8286575725001889E-4</v>
          </cell>
          <cell r="I727">
            <v>6.6915610912218049E-6</v>
          </cell>
          <cell r="J727">
            <v>1.8401565822266E-6</v>
          </cell>
        </row>
        <row r="728">
          <cell r="A728" t="str">
            <v>T_TW-FCLH2O-S1</v>
          </cell>
          <cell r="B728" t="str">
            <v>VAR_fout</v>
          </cell>
          <cell r="C728" t="str">
            <v>TPTWL</v>
          </cell>
          <cell r="H728">
            <v>1.3324361847326283E-3</v>
          </cell>
          <cell r="I728">
            <v>1.5004331580755496E-3</v>
          </cell>
          <cell r="J728">
            <v>1.2203147127734283E-3</v>
          </cell>
        </row>
        <row r="729">
          <cell r="A729" t="str">
            <v>T_TW-FCLH2O-S1</v>
          </cell>
          <cell r="B729" t="str">
            <v>VAR_fin</v>
          </cell>
          <cell r="C729" t="str">
            <v>TH2O</v>
          </cell>
          <cell r="H729">
            <v>2.845632944587273E-4</v>
          </cell>
          <cell r="I729">
            <v>3.164865360478078E-4</v>
          </cell>
          <cell r="J729">
            <v>2.5052356150004687E-4</v>
          </cell>
        </row>
        <row r="730">
          <cell r="A730" t="str">
            <v>T_TW-FCLH2O-S1</v>
          </cell>
          <cell r="B730" t="str">
            <v>VAR_ncap</v>
          </cell>
          <cell r="C730" t="str">
            <v>-</v>
          </cell>
          <cell r="H730">
            <v>2.9727050589480801E-4</v>
          </cell>
          <cell r="I730">
            <v>2.5815124239894898E-4</v>
          </cell>
          <cell r="J730">
            <v>3.0261650978228601E-4</v>
          </cell>
        </row>
        <row r="731">
          <cell r="A731" t="str">
            <v>T_TW-FCLH2O-S1</v>
          </cell>
          <cell r="B731" t="str">
            <v>VAR_cap</v>
          </cell>
          <cell r="C731" t="str">
            <v>-</v>
          </cell>
          <cell r="H731">
            <v>5.1004461571429983E-4</v>
          </cell>
          <cell r="I731">
            <v>5.9289806888262531E-4</v>
          </cell>
          <cell r="J731">
            <v>4.8409759686614013E-4</v>
          </cell>
        </row>
        <row r="732">
          <cell r="A732" t="str">
            <v>D-T-ELC-TW_Bat_S1</v>
          </cell>
          <cell r="B732" t="str">
            <v>VAR_fout</v>
          </cell>
          <cell r="C732" t="str">
            <v>T-ELC-TWSTGin_S1</v>
          </cell>
          <cell r="H732">
            <v>2.4472422278093882E-2</v>
          </cell>
          <cell r="I732">
            <v>9.6909461405899594E-2</v>
          </cell>
          <cell r="J732">
            <v>0.15285867337134201</v>
          </cell>
        </row>
        <row r="733">
          <cell r="A733" t="str">
            <v>D-T-ELC-TW_Bat_S1</v>
          </cell>
          <cell r="B733" t="str">
            <v>VAR_fin</v>
          </cell>
          <cell r="C733" t="str">
            <v>TELC</v>
          </cell>
          <cell r="H733">
            <v>2.4472422278093882E-2</v>
          </cell>
          <cell r="I733">
            <v>9.6909461405899594E-2</v>
          </cell>
          <cell r="J733">
            <v>0.15285867337134201</v>
          </cell>
        </row>
        <row r="734">
          <cell r="A734" t="str">
            <v>D-T-ELC-TW_Bat_S1</v>
          </cell>
          <cell r="B734" t="str">
            <v>VAR_ncap</v>
          </cell>
          <cell r="C734" t="str">
            <v>-</v>
          </cell>
          <cell r="H734">
            <v>2.33705437238888E-3</v>
          </cell>
          <cell r="I734">
            <v>7.8662177885321007E-3</v>
          </cell>
          <cell r="J734">
            <v>1.18040599313006E-2</v>
          </cell>
        </row>
        <row r="735">
          <cell r="A735" t="str">
            <v>D-T-ELC-TW_Bat_S1</v>
          </cell>
          <cell r="B735" t="str">
            <v>VAR_cap</v>
          </cell>
          <cell r="C735" t="str">
            <v>-</v>
          </cell>
          <cell r="H735">
            <v>2.5908133582542799E-3</v>
          </cell>
          <cell r="I735">
            <v>1.0246264923925399E-2</v>
          </cell>
          <cell r="J735">
            <v>1.6159136249181801E-2</v>
          </cell>
        </row>
        <row r="736">
          <cell r="A736" t="str">
            <v>T_C-FC-H2O-S3</v>
          </cell>
          <cell r="B736" t="str">
            <v>VAR_fout</v>
          </cell>
          <cell r="C736" t="str">
            <v>TPCAR</v>
          </cell>
          <cell r="H736">
            <v>6.1679635633382412E-5</v>
          </cell>
          <cell r="I736">
            <v>4.4451532938480265E-5</v>
          </cell>
          <cell r="J736">
            <v>4.6880221923150163E-5</v>
          </cell>
        </row>
        <row r="737">
          <cell r="A737" t="str">
            <v>T_C-FC-H2O-S3</v>
          </cell>
          <cell r="B737" t="str">
            <v>VAR_fin</v>
          </cell>
          <cell r="C737" t="str">
            <v>TH2O</v>
          </cell>
          <cell r="H737">
            <v>7.3167049071963547E-5</v>
          </cell>
          <cell r="I737">
            <v>4.9219134108358503E-5</v>
          </cell>
          <cell r="J737">
            <v>4.6507413558979475E-5</v>
          </cell>
        </row>
        <row r="738">
          <cell r="A738" t="str">
            <v>T_C-FC-H2O-S3</v>
          </cell>
          <cell r="B738" t="str">
            <v>VAR_ncap</v>
          </cell>
          <cell r="C738" t="str">
            <v>-</v>
          </cell>
          <cell r="H738">
            <v>9.6317240917958106E-7</v>
          </cell>
          <cell r="I738">
            <v>1.62664728914489E-6</v>
          </cell>
          <cell r="J738">
            <v>2.20373873514616E-6</v>
          </cell>
        </row>
        <row r="739">
          <cell r="A739" t="str">
            <v>T_C-FC-H2O-S3</v>
          </cell>
          <cell r="B739" t="str">
            <v>VAR_cap</v>
          </cell>
          <cell r="C739" t="str">
            <v>-</v>
          </cell>
          <cell r="H739">
            <v>3.5561749667188963E-6</v>
          </cell>
          <cell r="I739">
            <v>2.7400636592708835E-6</v>
          </cell>
          <cell r="J739">
            <v>2.9438577154249898E-6</v>
          </cell>
        </row>
        <row r="740">
          <cell r="A740" t="str">
            <v>T_B_c-ICEDSL-S3</v>
          </cell>
          <cell r="B740" t="str">
            <v>VAR_fout</v>
          </cell>
          <cell r="C740" t="str">
            <v>CO2_T</v>
          </cell>
          <cell r="H740">
            <v>6.5442344317250143</v>
          </cell>
          <cell r="I740">
            <v>0.1020126312698922</v>
          </cell>
          <cell r="J740">
            <v>1.7373310884487101E-2</v>
          </cell>
        </row>
        <row r="741">
          <cell r="A741" t="str">
            <v>T_B_c-ICEDSL-S3</v>
          </cell>
          <cell r="B741" t="str">
            <v>VAR_fout</v>
          </cell>
          <cell r="C741" t="str">
            <v>TPBSc</v>
          </cell>
          <cell r="H741">
            <v>6.0894307096497928E-3</v>
          </cell>
          <cell r="I741">
            <v>1.0211945392662832E-4</v>
          </cell>
          <cell r="J741">
            <v>1.7816659136253492E-5</v>
          </cell>
        </row>
        <row r="742">
          <cell r="A742" t="str">
            <v>T_B_c-ICEDSL-S3</v>
          </cell>
          <cell r="B742" t="str">
            <v>VAR_fin</v>
          </cell>
          <cell r="C742" t="str">
            <v>TDSL</v>
          </cell>
          <cell r="H742">
            <v>8.9280142315484368E-2</v>
          </cell>
          <cell r="I742">
            <v>1.3917139327406861E-3</v>
          </cell>
          <cell r="J742">
            <v>2.370165195700833E-4</v>
          </cell>
        </row>
        <row r="743">
          <cell r="A743" t="str">
            <v>T_B_c-ICEDSL-S3</v>
          </cell>
          <cell r="B743" t="str">
            <v>VAR_ncap</v>
          </cell>
          <cell r="C743" t="str">
            <v>-</v>
          </cell>
          <cell r="H743">
            <v>1.26513969936516E-6</v>
          </cell>
          <cell r="I743">
            <v>1.1733803636858799E-6</v>
          </cell>
        </row>
        <row r="744">
          <cell r="A744" t="str">
            <v>T_B_c-ICEDSL-S3</v>
          </cell>
          <cell r="B744" t="str">
            <v>VAR_cap</v>
          </cell>
          <cell r="C744" t="str">
            <v>-</v>
          </cell>
          <cell r="H744">
            <v>1.3248297566413199E-4</v>
          </cell>
          <cell r="I744">
            <v>2.3507547198006284E-6</v>
          </cell>
          <cell r="J744">
            <v>4.0190770507501802E-7</v>
          </cell>
        </row>
        <row r="745">
          <cell r="A745" t="str">
            <v>T_TW-FCLH2O-S2</v>
          </cell>
          <cell r="B745" t="str">
            <v>VAR_fout</v>
          </cell>
          <cell r="C745" t="str">
            <v>TPTWL</v>
          </cell>
          <cell r="H745">
            <v>5.4690709269455517E-4</v>
          </cell>
          <cell r="I745">
            <v>6.6918828492967136E-4</v>
          </cell>
          <cell r="J745">
            <v>5.0547503969331701E-4</v>
          </cell>
        </row>
        <row r="746">
          <cell r="A746" t="str">
            <v>T_TW-FCLH2O-S2</v>
          </cell>
          <cell r="B746" t="str">
            <v>VAR_fin</v>
          </cell>
          <cell r="C746" t="str">
            <v>TH2O</v>
          </cell>
          <cell r="H746">
            <v>2.0080220791877986E-4</v>
          </cell>
          <cell r="I746">
            <v>2.43466811050641E-4</v>
          </cell>
          <cell r="J746">
            <v>1.7983917001362568E-4</v>
          </cell>
        </row>
        <row r="747">
          <cell r="A747" t="str">
            <v>T_TW-FCLH2O-S2</v>
          </cell>
          <cell r="B747" t="str">
            <v>VAR_ncap</v>
          </cell>
          <cell r="C747" t="str">
            <v>-</v>
          </cell>
          <cell r="H747">
            <v>1.1867552320361999E-4</v>
          </cell>
          <cell r="I747">
            <v>9.6610194525879994E-5</v>
          </cell>
          <cell r="J747">
            <v>9.34250601533928E-5</v>
          </cell>
        </row>
        <row r="748">
          <cell r="A748" t="str">
            <v>T_TW-FCLH2O-S2</v>
          </cell>
          <cell r="B748" t="str">
            <v>VAR_cap</v>
          </cell>
          <cell r="C748" t="str">
            <v>-</v>
          </cell>
          <cell r="H748">
            <v>2.1000865190104595E-4</v>
          </cell>
          <cell r="I748">
            <v>2.6248218304499564E-4</v>
          </cell>
          <cell r="J748">
            <v>1.9701720295830491E-4</v>
          </cell>
        </row>
        <row r="749">
          <cell r="A749" t="str">
            <v>D-T-ELC-TW_Bat_S2</v>
          </cell>
          <cell r="B749" t="str">
            <v>VAR_fout</v>
          </cell>
          <cell r="C749" t="str">
            <v>T-ELC-TWSTGin_S2</v>
          </cell>
          <cell r="H749">
            <v>1.0195865289643708E-2</v>
          </cell>
          <cell r="I749">
            <v>8.8693451977817084E-3</v>
          </cell>
          <cell r="J749">
            <v>5.9217851687855287E-3</v>
          </cell>
        </row>
        <row r="750">
          <cell r="A750" t="str">
            <v>D-T-ELC-TW_Bat_S2</v>
          </cell>
          <cell r="B750" t="str">
            <v>VAR_fin</v>
          </cell>
          <cell r="C750" t="str">
            <v>TELC</v>
          </cell>
          <cell r="H750">
            <v>1.0195865289643708E-2</v>
          </cell>
          <cell r="I750">
            <v>8.8693451977817084E-3</v>
          </cell>
          <cell r="J750">
            <v>5.9217851687855287E-3</v>
          </cell>
        </row>
        <row r="751">
          <cell r="A751" t="str">
            <v>D-T-ELC-TW_Bat_S2</v>
          </cell>
          <cell r="B751" t="str">
            <v>VAR_ncap</v>
          </cell>
          <cell r="C751" t="str">
            <v>-</v>
          </cell>
          <cell r="H751">
            <v>7.8224387567673095E-4</v>
          </cell>
          <cell r="I751">
            <v>8.6678401469473005E-6</v>
          </cell>
          <cell r="J751">
            <v>3.5441956324449398E-4</v>
          </cell>
        </row>
        <row r="752">
          <cell r="A752" t="str">
            <v>D-T-ELC-TW_Bat_S2</v>
          </cell>
          <cell r="B752" t="str">
            <v>VAR_cap</v>
          </cell>
          <cell r="C752" t="str">
            <v>-</v>
          </cell>
          <cell r="H752">
            <v>1.0799395659713701E-3</v>
          </cell>
          <cell r="I752">
            <v>9.4125580044314796E-4</v>
          </cell>
          <cell r="J752">
            <v>6.2801332467033995E-4</v>
          </cell>
        </row>
        <row r="753">
          <cell r="A753" t="str">
            <v>T_C-FC-H2O-S4</v>
          </cell>
          <cell r="B753" t="str">
            <v>VAR_fout</v>
          </cell>
          <cell r="C753" t="str">
            <v>TPCAR</v>
          </cell>
          <cell r="H753">
            <v>4.2286560491791808E-5</v>
          </cell>
          <cell r="I753">
            <v>4.1828190850622469E-5</v>
          </cell>
          <cell r="J753">
            <v>4.5291079055416575E-5</v>
          </cell>
        </row>
        <row r="754">
          <cell r="A754" t="str">
            <v>T_C-FC-H2O-S4</v>
          </cell>
          <cell r="B754" t="str">
            <v>VAR_fin</v>
          </cell>
          <cell r="C754" t="str">
            <v>TH2O</v>
          </cell>
          <cell r="H754">
            <v>4.9524270043593439E-5</v>
          </cell>
          <cell r="I754">
            <v>4.6082972490672352E-5</v>
          </cell>
          <cell r="J754">
            <v>4.5036953908547313E-5</v>
          </cell>
        </row>
        <row r="755">
          <cell r="A755" t="str">
            <v>T_C-FC-H2O-S4</v>
          </cell>
          <cell r="B755" t="str">
            <v>VAR_ncap</v>
          </cell>
          <cell r="C755" t="str">
            <v>-</v>
          </cell>
          <cell r="H755">
            <v>1.13096191395699E-6</v>
          </cell>
          <cell r="I755">
            <v>1.9790904864633501E-6</v>
          </cell>
          <cell r="J755">
            <v>2.6585857305866601E-6</v>
          </cell>
        </row>
        <row r="756">
          <cell r="A756" t="str">
            <v>T_C-FC-H2O-S4</v>
          </cell>
          <cell r="B756" t="str">
            <v>VAR_cap</v>
          </cell>
          <cell r="C756" t="str">
            <v>-</v>
          </cell>
          <cell r="H756">
            <v>3.1666979496452745E-6</v>
          </cell>
          <cell r="I756">
            <v>3.3242493684588964E-6</v>
          </cell>
          <cell r="J756">
            <v>3.55217171716607E-6</v>
          </cell>
        </row>
        <row r="757">
          <cell r="A757" t="str">
            <v>T_B_c-ICEDSL-S4</v>
          </cell>
          <cell r="B757" t="str">
            <v>VAR_fout</v>
          </cell>
          <cell r="C757" t="str">
            <v>CO2_T</v>
          </cell>
          <cell r="H757">
            <v>9.1134457277556487E-3</v>
          </cell>
          <cell r="I757">
            <v>9.4066090283318506E-3</v>
          </cell>
          <cell r="J757">
            <v>6.31317392187347E-4</v>
          </cell>
        </row>
        <row r="758">
          <cell r="A758" t="str">
            <v>T_B_c-ICEDSL-S4</v>
          </cell>
          <cell r="B758" t="str">
            <v>VAR_fout</v>
          </cell>
          <cell r="C758" t="str">
            <v>TPBSc</v>
          </cell>
          <cell r="H758">
            <v>5.9014126830106856E-6</v>
          </cell>
          <cell r="I758">
            <v>6.2872804616832855E-6</v>
          </cell>
          <cell r="J758">
            <v>4.3301790553698831E-7</v>
          </cell>
        </row>
        <row r="759">
          <cell r="A759" t="str">
            <v>T_B_c-ICEDSL-S4</v>
          </cell>
          <cell r="B759" t="str">
            <v>VAR_fin</v>
          </cell>
          <cell r="C759" t="str">
            <v>TDSL</v>
          </cell>
          <cell r="H759">
            <v>1.243307739120825E-4</v>
          </cell>
          <cell r="I759">
            <v>1.2833027323781504E-4</v>
          </cell>
          <cell r="J759">
            <v>8.6127884336609371E-6</v>
          </cell>
        </row>
        <row r="760">
          <cell r="A760" t="str">
            <v>T_B_c-ICEDSL-S4</v>
          </cell>
          <cell r="B760" t="str">
            <v>VAR_ncap</v>
          </cell>
          <cell r="C760" t="str">
            <v>-</v>
          </cell>
          <cell r="H760">
            <v>1.03772369995931E-7</v>
          </cell>
          <cell r="I760">
            <v>6.5063392454368098E-8</v>
          </cell>
        </row>
        <row r="761">
          <cell r="A761" t="str">
            <v>T_B_c-ICEDSL-S4</v>
          </cell>
          <cell r="B761" t="str">
            <v>VAR_cap</v>
          </cell>
          <cell r="C761" t="str">
            <v>-</v>
          </cell>
          <cell r="H761">
            <v>1.2457749341756401E-7</v>
          </cell>
          <cell r="I761">
            <v>1.3593850048212199E-7</v>
          </cell>
          <cell r="J761">
            <v>1.14178860163945E-8</v>
          </cell>
        </row>
        <row r="762">
          <cell r="A762" t="str">
            <v>D-T-ELC-HGV</v>
          </cell>
          <cell r="B762" t="str">
            <v>VAR_fout</v>
          </cell>
          <cell r="C762" t="str">
            <v>T-ELC-HGV_BatSTGin</v>
          </cell>
          <cell r="H762">
            <v>2.6824344953303187</v>
          </cell>
          <cell r="I762">
            <v>4.0180168130011893</v>
          </cell>
          <cell r="J762">
            <v>8.0295696761377293</v>
          </cell>
        </row>
        <row r="763">
          <cell r="A763" t="str">
            <v>D-T-ELC-HGV</v>
          </cell>
          <cell r="B763" t="str">
            <v>VAR_fin</v>
          </cell>
          <cell r="C763" t="str">
            <v>TELC</v>
          </cell>
          <cell r="H763">
            <v>2.6824344953303187</v>
          </cell>
          <cell r="I763">
            <v>4.0180168130011893</v>
          </cell>
          <cell r="J763">
            <v>8.0295696761377293</v>
          </cell>
        </row>
        <row r="764">
          <cell r="A764" t="str">
            <v>D-T-ELC-HGV</v>
          </cell>
          <cell r="B764" t="str">
            <v>VAR_ncap</v>
          </cell>
          <cell r="C764" t="str">
            <v>-</v>
          </cell>
          <cell r="H764">
            <v>0.18070542522923599</v>
          </cell>
          <cell r="I764">
            <v>0.37677860145263398</v>
          </cell>
          <cell r="J764">
            <v>0.94423029781990597</v>
          </cell>
        </row>
        <row r="765">
          <cell r="A765" t="str">
            <v>D-T-ELC-HGV</v>
          </cell>
          <cell r="B765" t="str">
            <v>VAR_cap</v>
          </cell>
          <cell r="C765" t="str">
            <v>-</v>
          </cell>
          <cell r="H765">
            <v>0.33732423963448299</v>
          </cell>
          <cell r="I765">
            <v>0.50019793296472703</v>
          </cell>
          <cell r="J765">
            <v>1.0103506607846899</v>
          </cell>
        </row>
        <row r="766">
          <cell r="A766" t="str">
            <v>T_TW-FCLH2O-S3</v>
          </cell>
          <cell r="B766" t="str">
            <v>VAR_fout</v>
          </cell>
          <cell r="C766" t="str">
            <v>TPTWL</v>
          </cell>
          <cell r="H766">
            <v>2.5893033921907556E-4</v>
          </cell>
          <cell r="I766">
            <v>3.6155904832226954E-4</v>
          </cell>
          <cell r="J766">
            <v>3.6382383946807962E-4</v>
          </cell>
        </row>
        <row r="767">
          <cell r="A767" t="str">
            <v>T_TW-FCLH2O-S3</v>
          </cell>
          <cell r="B767" t="str">
            <v>VAR_fin</v>
          </cell>
          <cell r="C767" t="str">
            <v>TH2O</v>
          </cell>
          <cell r="H767">
            <v>1.4586199213253962E-4</v>
          </cell>
          <cell r="I767">
            <v>2.0225061960706426E-4</v>
          </cell>
          <cell r="J767">
            <v>1.996438486252482E-4</v>
          </cell>
        </row>
        <row r="768">
          <cell r="A768" t="str">
            <v>T_TW-FCLH2O-S3</v>
          </cell>
          <cell r="B768" t="str">
            <v>VAR_ncap</v>
          </cell>
          <cell r="C768" t="str">
            <v>-</v>
          </cell>
          <cell r="H768">
            <v>5.0285183467914001E-5</v>
          </cell>
          <cell r="I768">
            <v>4.1444017183284497E-5</v>
          </cell>
          <cell r="J768">
            <v>4.59476194229003E-5</v>
          </cell>
        </row>
        <row r="769">
          <cell r="A769" t="str">
            <v>T_TW-FCLH2O-S3</v>
          </cell>
          <cell r="B769" t="str">
            <v>VAR_cap</v>
          </cell>
          <cell r="C769" t="str">
            <v>-</v>
          </cell>
          <cell r="H769">
            <v>9.7894123542662206E-5</v>
          </cell>
          <cell r="I769">
            <v>1.3924556041764217E-4</v>
          </cell>
          <cell r="J769">
            <v>1.397272386316822E-4</v>
          </cell>
        </row>
        <row r="770">
          <cell r="A770" t="str">
            <v>D-T-ELC-TW_Bat_S3</v>
          </cell>
          <cell r="B770" t="str">
            <v>VAR_fout</v>
          </cell>
          <cell r="C770" t="str">
            <v>T-ELC-TWSTGin_S3</v>
          </cell>
          <cell r="H770">
            <v>1.476381788847218E-2</v>
          </cell>
          <cell r="I770">
            <v>1.431685701877908E-2</v>
          </cell>
          <cell r="J770">
            <v>9.3978473778360688E-3</v>
          </cell>
        </row>
        <row r="771">
          <cell r="A771" t="str">
            <v>D-T-ELC-TW_Bat_S3</v>
          </cell>
          <cell r="B771" t="str">
            <v>VAR_fin</v>
          </cell>
          <cell r="C771" t="str">
            <v>TELC</v>
          </cell>
          <cell r="H771">
            <v>1.476381788847218E-2</v>
          </cell>
          <cell r="I771">
            <v>1.431685701877908E-2</v>
          </cell>
          <cell r="J771">
            <v>9.3978473778360688E-3</v>
          </cell>
        </row>
        <row r="772">
          <cell r="A772" t="str">
            <v>D-T-ELC-TW_Bat_S3</v>
          </cell>
          <cell r="B772" t="str">
            <v>VAR_ncap</v>
          </cell>
          <cell r="C772" t="str">
            <v>-</v>
          </cell>
          <cell r="H772">
            <v>9.6242320294430298E-4</v>
          </cell>
          <cell r="I772">
            <v>1.3712812268540901E-4</v>
          </cell>
          <cell r="J772">
            <v>1.2644846498375E-5</v>
          </cell>
        </row>
        <row r="773">
          <cell r="A773" t="str">
            <v>D-T-ELC-TW_Bat_S3</v>
          </cell>
          <cell r="B773" t="str">
            <v>VAR_cap</v>
          </cell>
          <cell r="C773" t="str">
            <v>-</v>
          </cell>
          <cell r="H773">
            <v>1.56362986144128E-3</v>
          </cell>
          <cell r="I773">
            <v>1.51537701204578E-3</v>
          </cell>
          <cell r="J773">
            <v>9.9620704889780403E-4</v>
          </cell>
        </row>
        <row r="774">
          <cell r="A774" t="str">
            <v>T_TW-FCLH2O-S4</v>
          </cell>
          <cell r="B774" t="str">
            <v>VAR_fout</v>
          </cell>
          <cell r="C774" t="str">
            <v>TPTWL</v>
          </cell>
          <cell r="H774">
            <v>1.3401501405954297E-4</v>
          </cell>
          <cell r="I774">
            <v>1.9639094798840805E-4</v>
          </cell>
          <cell r="J774">
            <v>2.4249841093514351E-4</v>
          </cell>
        </row>
        <row r="775">
          <cell r="A775" t="str">
            <v>T_TW-FCLH2O-S4</v>
          </cell>
          <cell r="B775" t="str">
            <v>VAR_fin</v>
          </cell>
          <cell r="C775" t="str">
            <v>TH2O</v>
          </cell>
          <cell r="H775">
            <v>8.4959574327043156E-5</v>
          </cell>
          <cell r="I775">
            <v>1.2343415402095949E-4</v>
          </cell>
          <cell r="J775">
            <v>1.5000222637510054E-4</v>
          </cell>
        </row>
        <row r="776">
          <cell r="A776" t="str">
            <v>T_TW-FCLH2O-S4</v>
          </cell>
          <cell r="B776" t="str">
            <v>VAR_ncap</v>
          </cell>
          <cell r="C776" t="str">
            <v>-</v>
          </cell>
          <cell r="H776">
            <v>2.6502866686872898E-5</v>
          </cell>
          <cell r="I776">
            <v>2.39457201429905E-5</v>
          </cell>
          <cell r="J776">
            <v>2.48327343577119E-5</v>
          </cell>
        </row>
        <row r="777">
          <cell r="A777" t="str">
            <v>T_TW-FCLH2O-S4</v>
          </cell>
          <cell r="B777" t="str">
            <v>VAR_cap</v>
          </cell>
          <cell r="C777" t="str">
            <v>-</v>
          </cell>
          <cell r="H777">
            <v>4.922899859423177E-5</v>
          </cell>
          <cell r="I777">
            <v>7.3118814270292998E-5</v>
          </cell>
          <cell r="J777">
            <v>9.0049861933112128E-5</v>
          </cell>
        </row>
        <row r="778">
          <cell r="A778" t="str">
            <v>D-T-ELC-TW_Bat_S4</v>
          </cell>
          <cell r="B778" t="str">
            <v>VAR_fout</v>
          </cell>
          <cell r="C778" t="str">
            <v>T-ELC-TWSTGin_S4</v>
          </cell>
          <cell r="H778">
            <v>1.4969320270731648E-2</v>
          </cell>
          <cell r="I778">
            <v>1.6859868055691406E-2</v>
          </cell>
          <cell r="J778">
            <v>1.3875977729479384E-2</v>
          </cell>
        </row>
        <row r="779">
          <cell r="A779" t="str">
            <v>D-T-ELC-TW_Bat_S4</v>
          </cell>
          <cell r="B779" t="str">
            <v>VAR_fin</v>
          </cell>
          <cell r="C779" t="str">
            <v>TELC</v>
          </cell>
          <cell r="H779">
            <v>1.4969320270731648E-2</v>
          </cell>
          <cell r="I779">
            <v>1.6859868055691406E-2</v>
          </cell>
          <cell r="J779">
            <v>1.3875977729479384E-2</v>
          </cell>
        </row>
        <row r="780">
          <cell r="A780" t="str">
            <v>D-T-ELC-TW_Bat_S4</v>
          </cell>
          <cell r="B780" t="str">
            <v>VAR_ncap</v>
          </cell>
          <cell r="C780" t="str">
            <v>-</v>
          </cell>
          <cell r="H780">
            <v>9.7958269191981691E-4</v>
          </cell>
          <cell r="I780">
            <v>2.0032583017351799E-4</v>
          </cell>
          <cell r="J780">
            <v>7.8601383988739001E-5</v>
          </cell>
        </row>
        <row r="781">
          <cell r="A781" t="str">
            <v>D-T-ELC-TW_Bat_S4</v>
          </cell>
          <cell r="B781" t="str">
            <v>VAR_cap</v>
          </cell>
          <cell r="C781" t="str">
            <v>-</v>
          </cell>
          <cell r="H781">
            <v>1.5845754627479599E-3</v>
          </cell>
          <cell r="I781">
            <v>1.78490129292148E-3</v>
          </cell>
          <cell r="J781">
            <v>1.4689301902615799E-3</v>
          </cell>
        </row>
        <row r="782">
          <cell r="A782" t="str">
            <v>T_B_u-ICENGA-S1</v>
          </cell>
          <cell r="B782" t="str">
            <v>VAR_fout</v>
          </cell>
          <cell r="C782" t="str">
            <v>CO2_T</v>
          </cell>
          <cell r="H782">
            <v>0.17043810911610352</v>
          </cell>
          <cell r="I782">
            <v>4.4587333678955982E-2</v>
          </cell>
          <cell r="J782">
            <v>1.248245391715146E-2</v>
          </cell>
        </row>
        <row r="783">
          <cell r="A783" t="str">
            <v>T_B_u-ICENGA-S1</v>
          </cell>
          <cell r="B783" t="str">
            <v>VAR_fout</v>
          </cell>
          <cell r="C783" t="str">
            <v>TPBSu</v>
          </cell>
          <cell r="H783">
            <v>4.3299759880527312E-4</v>
          </cell>
          <cell r="I783">
            <v>1.1657269741421898E-4</v>
          </cell>
          <cell r="J783">
            <v>3.3177748241584717E-5</v>
          </cell>
        </row>
        <row r="784">
          <cell r="A784" t="str">
            <v>T_B_u-ICENGA-S1</v>
          </cell>
          <cell r="B784" t="str">
            <v>VAR_fin</v>
          </cell>
          <cell r="C784" t="str">
            <v>TNGA</v>
          </cell>
          <cell r="H784">
            <v>3.0219522892926181E-3</v>
          </cell>
          <cell r="I784">
            <v>7.9055556168361604E-4</v>
          </cell>
          <cell r="J784">
            <v>2.2132010491403308E-4</v>
          </cell>
        </row>
        <row r="785">
          <cell r="A785" t="str">
            <v>T_B_u-ICENGA-S1</v>
          </cell>
          <cell r="B785" t="str">
            <v>VAR_ncap</v>
          </cell>
          <cell r="C785" t="str">
            <v>-</v>
          </cell>
          <cell r="H785">
            <v>7.3497314281571697E-6</v>
          </cell>
          <cell r="I785">
            <v>1.01850634441853E-6</v>
          </cell>
        </row>
        <row r="786">
          <cell r="A786" t="str">
            <v>T_B_u-ICENGA-S1</v>
          </cell>
          <cell r="B786" t="str">
            <v>VAR_cap</v>
          </cell>
          <cell r="C786" t="str">
            <v>-</v>
          </cell>
          <cell r="H786">
            <v>8.91887435312547E-6</v>
          </cell>
          <cell r="I786">
            <v>2.7351783232043991E-6</v>
          </cell>
          <cell r="J786">
            <v>7.4000276870865994E-7</v>
          </cell>
        </row>
        <row r="787">
          <cell r="A787" t="str">
            <v>T_B_u-ICENGA-S2</v>
          </cell>
          <cell r="B787" t="str">
            <v>VAR_fout</v>
          </cell>
          <cell r="C787" t="str">
            <v>CO2_T</v>
          </cell>
          <cell r="H787">
            <v>9.4149716996539498E-2</v>
          </cell>
          <cell r="I787">
            <v>3.6710270722117889E-2</v>
          </cell>
          <cell r="J787">
            <v>1.0185947569823829E-2</v>
          </cell>
        </row>
        <row r="788">
          <cell r="A788" t="str">
            <v>T_B_u-ICENGA-S2</v>
          </cell>
          <cell r="B788" t="str">
            <v>VAR_fout</v>
          </cell>
          <cell r="C788" t="str">
            <v>TPBSu</v>
          </cell>
          <cell r="H788">
            <v>1.5981114954276906E-4</v>
          </cell>
          <cell r="I788">
            <v>6.6865606389241762E-5</v>
          </cell>
          <cell r="J788">
            <v>1.8896106926606861E-5</v>
          </cell>
        </row>
        <row r="789">
          <cell r="A789" t="str">
            <v>T_B_u-ICENGA-S2</v>
          </cell>
          <cell r="B789" t="str">
            <v>VAR_fin</v>
          </cell>
          <cell r="C789" t="str">
            <v>TNGA</v>
          </cell>
          <cell r="H789">
            <v>1.6693212233428996E-3</v>
          </cell>
          <cell r="I789">
            <v>6.5089132486024527E-4</v>
          </cell>
          <cell r="J789">
            <v>1.8060190726638028E-4</v>
          </cell>
        </row>
        <row r="790">
          <cell r="A790" t="str">
            <v>T_B_u-ICENGA-S2</v>
          </cell>
          <cell r="B790" t="str">
            <v>VAR_ncap</v>
          </cell>
          <cell r="C790" t="str">
            <v>-</v>
          </cell>
          <cell r="H790">
            <v>1.0899975567127001E-6</v>
          </cell>
          <cell r="I790">
            <v>4.3811857112853398E-7</v>
          </cell>
        </row>
        <row r="791">
          <cell r="A791" t="str">
            <v>T_B_u-ICENGA-S2</v>
          </cell>
          <cell r="B791" t="str">
            <v>VAR_cap</v>
          </cell>
          <cell r="C791" t="str">
            <v>-</v>
          </cell>
          <cell r="H791">
            <v>3.0933709924924397E-6</v>
          </cell>
          <cell r="I791">
            <v>1.3984239015099469E-6</v>
          </cell>
          <cell r="J791">
            <v>3.5116404550358701E-7</v>
          </cell>
        </row>
        <row r="792">
          <cell r="A792" t="str">
            <v>T_B_c-ICEDSLEXT</v>
          </cell>
          <cell r="B792" t="str">
            <v>VAR_fout</v>
          </cell>
          <cell r="C792" t="str">
            <v>CO2_T</v>
          </cell>
        </row>
        <row r="793">
          <cell r="A793" t="str">
            <v>T_B_c-ICEDSLEXT</v>
          </cell>
          <cell r="B793" t="str">
            <v>VAR_fout</v>
          </cell>
          <cell r="C793" t="str">
            <v>TPBSc</v>
          </cell>
        </row>
        <row r="794">
          <cell r="A794" t="str">
            <v>T_B_c-ICEDSLEXT</v>
          </cell>
          <cell r="B794" t="str">
            <v>VAR_fin</v>
          </cell>
          <cell r="C794" t="str">
            <v>TDSL</v>
          </cell>
        </row>
        <row r="795">
          <cell r="A795" t="str">
            <v>T_B_c-ICEDSLEXT</v>
          </cell>
          <cell r="B795" t="str">
            <v>VAR_cap</v>
          </cell>
          <cell r="C795" t="str">
            <v>-</v>
          </cell>
        </row>
        <row r="796">
          <cell r="A796" t="str">
            <v>T_B_u-ICENGA-S3</v>
          </cell>
          <cell r="B796" t="str">
            <v>VAR_fout</v>
          </cell>
          <cell r="C796" t="str">
            <v>CO2_T</v>
          </cell>
          <cell r="H796">
            <v>0.16883095167964771</v>
          </cell>
          <cell r="I796">
            <v>4.6853294963363996E-2</v>
          </cell>
          <cell r="J796">
            <v>6.6915379835738899E-3</v>
          </cell>
        </row>
        <row r="797">
          <cell r="A797" t="str">
            <v>T_B_u-ICENGA-S3</v>
          </cell>
          <cell r="B797" t="str">
            <v>VAR_fout</v>
          </cell>
          <cell r="C797" t="str">
            <v>TPBSu</v>
          </cell>
          <cell r="H797">
            <v>1.9448778143626357E-4</v>
          </cell>
          <cell r="I797">
            <v>5.7037887734073165E-5</v>
          </cell>
          <cell r="J797">
            <v>8.4187691423930028E-6</v>
          </cell>
        </row>
        <row r="798">
          <cell r="A798" t="str">
            <v>T_B_u-ICENGA-S3</v>
          </cell>
          <cell r="B798" t="str">
            <v>VAR_fin</v>
          </cell>
          <cell r="C798" t="str">
            <v>TNGA</v>
          </cell>
          <cell r="H798">
            <v>2.9934565900646692E-3</v>
          </cell>
          <cell r="I798">
            <v>8.30732180201488E-4</v>
          </cell>
          <cell r="J798">
            <v>1.1864429048889884E-4</v>
          </cell>
        </row>
        <row r="799">
          <cell r="A799" t="str">
            <v>T_B_u-ICENGA-S3</v>
          </cell>
          <cell r="B799" t="str">
            <v>VAR_ncap</v>
          </cell>
          <cell r="C799" t="str">
            <v>-</v>
          </cell>
          <cell r="H799">
            <v>7.7998310620123805E-7</v>
          </cell>
          <cell r="I799">
            <v>3.33003368308255E-7</v>
          </cell>
        </row>
        <row r="800">
          <cell r="A800" t="str">
            <v>T_B_u-ICENGA-S3</v>
          </cell>
          <cell r="B800" t="str">
            <v>VAR_cap</v>
          </cell>
          <cell r="C800" t="str">
            <v>-</v>
          </cell>
          <cell r="H800">
            <v>3.6060423476385098E-6</v>
          </cell>
          <cell r="I800">
            <v>1.0400279208034121E-6</v>
          </cell>
          <cell r="J800">
            <v>1.14060728883009E-7</v>
          </cell>
        </row>
        <row r="801">
          <cell r="A801" t="str">
            <v>T_B_u-ICENGA-S4</v>
          </cell>
          <cell r="B801" t="str">
            <v>VAR_fout</v>
          </cell>
          <cell r="C801" t="str">
            <v>CO2_T</v>
          </cell>
          <cell r="H801">
            <v>5.5807396330430229E-3</v>
          </cell>
          <cell r="I801">
            <v>5.4926975386839997E-3</v>
          </cell>
          <cell r="J801">
            <v>2.09848202973023E-3</v>
          </cell>
        </row>
        <row r="802">
          <cell r="A802" t="str">
            <v>T_B_u-ICENGA-S4</v>
          </cell>
          <cell r="B802" t="str">
            <v>VAR_fout</v>
          </cell>
          <cell r="C802" t="str">
            <v>TPBSu</v>
          </cell>
          <cell r="H802">
            <v>4.4629194773413317E-6</v>
          </cell>
          <cell r="I802">
            <v>4.4984177282318633E-6</v>
          </cell>
          <cell r="J802">
            <v>1.7673077958973713E-6</v>
          </cell>
        </row>
        <row r="803">
          <cell r="A803" t="str">
            <v>T_B_u-ICENGA-S4</v>
          </cell>
          <cell r="B803" t="str">
            <v>VAR_fin</v>
          </cell>
          <cell r="C803" t="str">
            <v>TNGA</v>
          </cell>
          <cell r="H803">
            <v>9.894928427381242E-5</v>
          </cell>
          <cell r="I803">
            <v>9.7388254231985788E-5</v>
          </cell>
          <cell r="J803">
            <v>3.720712818670627E-5</v>
          </cell>
        </row>
        <row r="804">
          <cell r="A804" t="str">
            <v>T_B_u-ICENGA-S4</v>
          </cell>
          <cell r="B804" t="str">
            <v>VAR_ncap</v>
          </cell>
          <cell r="C804" t="str">
            <v>-</v>
          </cell>
          <cell r="H804">
            <v>4.4900071189807998E-8</v>
          </cell>
          <cell r="I804">
            <v>3.3860231414057098E-8</v>
          </cell>
        </row>
        <row r="805">
          <cell r="A805" t="str">
            <v>T_B_u-ICENGA-S4</v>
          </cell>
          <cell r="B805" t="str">
            <v>VAR_cap</v>
          </cell>
          <cell r="C805" t="str">
            <v>-</v>
          </cell>
          <cell r="H805">
            <v>5.05979220299503E-8</v>
          </cell>
          <cell r="I805">
            <v>6.4526365339265394E-8</v>
          </cell>
          <cell r="J805">
            <v>5.9420858364493402E-9</v>
          </cell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68.771198230046309</v>
          </cell>
          <cell r="G9">
            <v>85.362479408146243</v>
          </cell>
          <cell r="H9">
            <v>105.22364789917285</v>
          </cell>
        </row>
        <row r="28">
          <cell r="F28">
            <v>0</v>
          </cell>
          <cell r="G28">
            <v>0.32237036893503263</v>
          </cell>
          <cell r="H28">
            <v>9.0114426853643295</v>
          </cell>
        </row>
      </sheetData>
      <sheetData sheetId="56"/>
      <sheetData sheetId="57"/>
      <sheetData sheetId="58">
        <row r="14">
          <cell r="F14">
            <v>55.379436229839229</v>
          </cell>
          <cell r="G14">
            <v>32.820804889789272</v>
          </cell>
          <cell r="H14">
            <v>0</v>
          </cell>
        </row>
        <row r="15">
          <cell r="F15">
            <v>72.61624215309584</v>
          </cell>
          <cell r="G15">
            <v>73.931684780467094</v>
          </cell>
          <cell r="H15">
            <v>74.836059984174653</v>
          </cell>
        </row>
        <row r="16">
          <cell r="F16">
            <v>63.870159829891385</v>
          </cell>
          <cell r="G16">
            <v>64.382938209233785</v>
          </cell>
          <cell r="H16">
            <v>67.134977010270831</v>
          </cell>
        </row>
        <row r="17">
          <cell r="F17">
            <v>12.862436419308541</v>
          </cell>
          <cell r="G17">
            <v>13.516268591775255</v>
          </cell>
          <cell r="H17">
            <v>13.886559925083338</v>
          </cell>
        </row>
        <row r="18">
          <cell r="F18">
            <v>6.303080726319207E-3</v>
          </cell>
          <cell r="G18">
            <v>5.2380766489081394E-3</v>
          </cell>
          <cell r="H18">
            <v>5.8612544673941597E-5</v>
          </cell>
        </row>
        <row r="19">
          <cell r="F19">
            <v>7.4918634968652693</v>
          </cell>
          <cell r="G19">
            <v>5.685049560882022</v>
          </cell>
          <cell r="H19">
            <v>3.5005416907805571E-3</v>
          </cell>
        </row>
        <row r="20">
          <cell r="F20">
            <v>0</v>
          </cell>
          <cell r="G20">
            <v>2.6049062328870041</v>
          </cell>
          <cell r="H20">
            <v>9.3303203370739478</v>
          </cell>
        </row>
        <row r="21">
          <cell r="F21">
            <v>0</v>
          </cell>
          <cell r="G21">
            <v>1.7287996758250911E-5</v>
          </cell>
          <cell r="H21">
            <v>6.345956581510148E-3</v>
          </cell>
        </row>
        <row r="22">
          <cell r="F22">
            <v>0</v>
          </cell>
          <cell r="G22">
            <v>9.6613206384070246E-6</v>
          </cell>
          <cell r="H22">
            <v>4.5043486064927599E-2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0.75378471091853627</v>
          </cell>
          <cell r="G25">
            <v>1.0348752036717708</v>
          </cell>
          <cell r="H25">
            <v>1.2187188816545365</v>
          </cell>
        </row>
        <row r="26">
          <cell r="F26">
            <v>1.4332895640461274</v>
          </cell>
          <cell r="G26">
            <v>1.1191223257152119</v>
          </cell>
          <cell r="H26">
            <v>0.19728246474610134</v>
          </cell>
        </row>
        <row r="27">
          <cell r="F27">
            <v>0</v>
          </cell>
          <cell r="G27">
            <v>0.43573305724004935</v>
          </cell>
          <cell r="H27">
            <v>1.4943036488637726</v>
          </cell>
        </row>
        <row r="28">
          <cell r="F28">
            <v>1.3989427621364616E-3</v>
          </cell>
          <cell r="G28">
            <v>6.4831069535673967E-4</v>
          </cell>
          <cell r="H28">
            <v>1.147563704339486E-5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6.9712515706371932E-3</v>
          </cell>
          <cell r="H30">
            <v>0.35288777399785165</v>
          </cell>
        </row>
        <row r="31">
          <cell r="F31">
            <v>0</v>
          </cell>
          <cell r="G31">
            <v>1.8991570426643055E-3</v>
          </cell>
          <cell r="H31">
            <v>0.99986415934573714</v>
          </cell>
        </row>
        <row r="32">
          <cell r="F32">
            <v>0</v>
          </cell>
          <cell r="G32">
            <v>4.828731617635685E-2</v>
          </cell>
          <cell r="H32">
            <v>1.3516476520411631</v>
          </cell>
        </row>
        <row r="33">
          <cell r="F33">
            <v>3.6359078303036996</v>
          </cell>
          <cell r="G33">
            <v>7.1993529207808624</v>
          </cell>
          <cell r="H33">
            <v>21.925692576183096</v>
          </cell>
        </row>
        <row r="34">
          <cell r="F34">
            <v>2.1017921774747581</v>
          </cell>
          <cell r="G34">
            <v>20.807704349513344</v>
          </cell>
          <cell r="H34">
            <v>27.762573350384329</v>
          </cell>
        </row>
        <row r="35">
          <cell r="F35">
            <v>22.482467503971549</v>
          </cell>
          <cell r="G35">
            <v>40.847642199504989</v>
          </cell>
          <cell r="H35">
            <v>45.121216578743599</v>
          </cell>
        </row>
        <row r="36">
          <cell r="F36">
            <v>11.802083835542931</v>
          </cell>
          <cell r="G36">
            <v>12.452302987105362</v>
          </cell>
          <cell r="H36">
            <v>13.863122449251357</v>
          </cell>
        </row>
        <row r="37">
          <cell r="F37">
            <v>3.9814351276249642</v>
          </cell>
          <cell r="G37">
            <v>15.480090646145115</v>
          </cell>
          <cell r="H37">
            <v>17.099656928443352</v>
          </cell>
        </row>
        <row r="38">
          <cell r="F38">
            <v>18.815576246642379</v>
          </cell>
          <cell r="G38">
            <v>40.476872399470693</v>
          </cell>
          <cell r="H38">
            <v>44.711652746659489</v>
          </cell>
        </row>
        <row r="39">
          <cell r="F39">
            <v>0.6653199913717901</v>
          </cell>
          <cell r="G39">
            <v>0.14058013215422682</v>
          </cell>
          <cell r="H39">
            <v>0.42392591238683891</v>
          </cell>
        </row>
        <row r="40">
          <cell r="F40">
            <v>0</v>
          </cell>
          <cell r="G40">
            <v>8.0739093452461372E-2</v>
          </cell>
          <cell r="H40">
            <v>0.24512924716051782</v>
          </cell>
        </row>
        <row r="41">
          <cell r="F41">
            <v>0.16384275531872286</v>
          </cell>
          <cell r="G41">
            <v>0</v>
          </cell>
          <cell r="H41">
            <v>0</v>
          </cell>
        </row>
        <row r="42">
          <cell r="F42">
            <v>2.7529153085703624</v>
          </cell>
          <cell r="G42">
            <v>2.5474836910773058</v>
          </cell>
          <cell r="H42">
            <v>2.2791571910719743</v>
          </cell>
        </row>
        <row r="43">
          <cell r="F43">
            <v>0</v>
          </cell>
          <cell r="G43">
            <v>0.27926816918130398</v>
          </cell>
          <cell r="H43">
            <v>1.1732316047506992</v>
          </cell>
        </row>
        <row r="44">
          <cell r="F44">
            <v>2.7103877795210717E-3</v>
          </cell>
          <cell r="G44">
            <v>1.4064233092216918E-3</v>
          </cell>
          <cell r="H44">
            <v>2.7341503051753966E-4</v>
          </cell>
        </row>
        <row r="45">
          <cell r="F45">
            <v>0</v>
          </cell>
          <cell r="G45">
            <v>0.17980264019876752</v>
          </cell>
          <cell r="H45">
            <v>0.32119186538894923</v>
          </cell>
        </row>
        <row r="46">
          <cell r="F46">
            <v>1.4092050031329552E-2</v>
          </cell>
          <cell r="G46">
            <v>0.1536474462751766</v>
          </cell>
          <cell r="H46">
            <v>0.21224712314715927</v>
          </cell>
        </row>
        <row r="47">
          <cell r="F47">
            <v>4.6321820010354143E-3</v>
          </cell>
          <cell r="G47">
            <v>4.9213812449654688E-3</v>
          </cell>
          <cell r="H47">
            <v>9.8630127723662903E-4</v>
          </cell>
        </row>
        <row r="48">
          <cell r="F48">
            <v>6.9798135950631156E-3</v>
          </cell>
          <cell r="G48">
            <v>2.6155812779064137E-3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6.8605135650103028E-3</v>
          </cell>
          <cell r="G50">
            <v>7.2830297201891998E-3</v>
          </cell>
          <cell r="H50">
            <v>2.7673502291789276E-3</v>
          </cell>
        </row>
        <row r="51">
          <cell r="F51">
            <v>2.5778823734572843E-2</v>
          </cell>
          <cell r="G51">
            <v>5.4911278045444017E-3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0.35255756634486213</v>
          </cell>
          <cell r="G53">
            <v>0.75302773420261815</v>
          </cell>
          <cell r="H53">
            <v>0.29588017574834169</v>
          </cell>
        </row>
        <row r="54">
          <cell r="F54">
            <v>1.1059987383196199</v>
          </cell>
          <cell r="G54">
            <v>1.105995881450222</v>
          </cell>
          <cell r="H54">
            <v>1.10599669949816</v>
          </cell>
        </row>
        <row r="55">
          <cell r="F55">
            <v>8.8820192954629264E-3</v>
          </cell>
          <cell r="G55">
            <v>1.622857193589763E-3</v>
          </cell>
          <cell r="H55">
            <v>0</v>
          </cell>
        </row>
        <row r="56">
          <cell r="F56">
            <v>3.9258722558165758E-3</v>
          </cell>
          <cell r="G56">
            <v>2.1118526464001842E-3</v>
          </cell>
          <cell r="H56">
            <v>8.2573278130341002E-4</v>
          </cell>
        </row>
        <row r="57">
          <cell r="F57">
            <v>7.4029796149395763E-3</v>
          </cell>
          <cell r="G57">
            <v>1.0646981541510085E-2</v>
          </cell>
          <cell r="H57">
            <v>1.4029965412039075E-2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3.5669839720248217E-2</v>
          </cell>
          <cell r="G70">
            <v>2.0355486723201314E-2</v>
          </cell>
          <cell r="H70">
            <v>9.4414769627117617E-2</v>
          </cell>
        </row>
        <row r="71">
          <cell r="F71">
            <v>0.16429434296466339</v>
          </cell>
          <cell r="G71">
            <v>1.5500039966511421</v>
          </cell>
          <cell r="H71">
            <v>2.553169459566154</v>
          </cell>
        </row>
        <row r="72">
          <cell r="F72">
            <v>0.11942236022249948</v>
          </cell>
          <cell r="G72">
            <v>0.57095641657651652</v>
          </cell>
          <cell r="H72">
            <v>2.2552794725689242</v>
          </cell>
        </row>
        <row r="73">
          <cell r="F73">
            <v>0.27474063144710542</v>
          </cell>
          <cell r="G73">
            <v>0.32782091059063434</v>
          </cell>
          <cell r="H73">
            <v>0.43571834818652772</v>
          </cell>
        </row>
        <row r="74">
          <cell r="F74">
            <v>0.67814398548631671</v>
          </cell>
          <cell r="G74">
            <v>0.51218193384269328</v>
          </cell>
          <cell r="H74">
            <v>0.70370413872867155</v>
          </cell>
        </row>
        <row r="75">
          <cell r="F75">
            <v>0.10090640168918727</v>
          </cell>
          <cell r="G75">
            <v>0.25302554221364348</v>
          </cell>
          <cell r="H75">
            <v>0.36054399240823709</v>
          </cell>
        </row>
        <row r="76">
          <cell r="F76">
            <v>0.44028213813272188</v>
          </cell>
          <cell r="G76">
            <v>0.69096901344854433</v>
          </cell>
          <cell r="H76">
            <v>0.93243872711550324</v>
          </cell>
        </row>
        <row r="90">
          <cell r="F90">
            <v>0</v>
          </cell>
          <cell r="G90">
            <v>3.8668859542250226E-4</v>
          </cell>
          <cell r="H90">
            <v>3.8958765975548781E-4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1.971699898810509</v>
          </cell>
          <cell r="G92">
            <v>2.7633588399370446</v>
          </cell>
          <cell r="H92">
            <v>3.2423056428406927</v>
          </cell>
        </row>
        <row r="93">
          <cell r="F93">
            <v>12.342959798278395</v>
          </cell>
          <cell r="G93">
            <v>13.010897454358773</v>
          </cell>
          <cell r="H93">
            <v>13.242966641506772</v>
          </cell>
        </row>
        <row r="94">
          <cell r="F94">
            <v>7.1945627767017965E-3</v>
          </cell>
          <cell r="G94">
            <v>3.3341692904060869E-3</v>
          </cell>
          <cell r="H94">
            <v>5.9017561937459273E-5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8.4650911929165674E-3</v>
          </cell>
          <cell r="H96">
            <v>0.4453107624258601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0.90181269880743598</v>
          </cell>
          <cell r="G98">
            <v>0.90181004544806687</v>
          </cell>
          <cell r="H98">
            <v>0.90181766731264856</v>
          </cell>
        </row>
        <row r="99">
          <cell r="F99">
            <v>1.2989494620651649</v>
          </cell>
          <cell r="G99">
            <v>0</v>
          </cell>
          <cell r="H99">
            <v>0</v>
          </cell>
        </row>
        <row r="100">
          <cell r="F100">
            <v>1.4419585299263034E-4</v>
          </cell>
          <cell r="G100">
            <v>3.2596720046089173E-4</v>
          </cell>
          <cell r="H100">
            <v>7.2182551152279111E-6</v>
          </cell>
        </row>
        <row r="101">
          <cell r="F101">
            <v>2.0857467254498951</v>
          </cell>
          <cell r="G101">
            <v>1.7468665997262292</v>
          </cell>
          <cell r="H101">
            <v>2.1699477404381367</v>
          </cell>
        </row>
        <row r="102">
          <cell r="F102">
            <v>1.3103988228516946E-4</v>
          </cell>
          <cell r="G102">
            <v>1.312065979412731E-4</v>
          </cell>
          <cell r="H102">
            <v>1.3282720853655062E-4</v>
          </cell>
        </row>
        <row r="103">
          <cell r="F103">
            <v>1.0828025594118897</v>
          </cell>
          <cell r="G103">
            <v>0.25066794693106398</v>
          </cell>
          <cell r="H103">
            <v>0.73948201844708006</v>
          </cell>
        </row>
        <row r="104">
          <cell r="F104">
            <v>0.8123314826623691</v>
          </cell>
          <cell r="G104">
            <v>0</v>
          </cell>
          <cell r="H104">
            <v>0</v>
          </cell>
        </row>
        <row r="105">
          <cell r="F105">
            <v>5.8234746912065454</v>
          </cell>
          <cell r="G105">
            <v>5.9796673967009211</v>
          </cell>
          <cell r="H105">
            <v>7.3031301450095176</v>
          </cell>
        </row>
        <row r="106">
          <cell r="F106">
            <v>1.5995176633888886E-2</v>
          </cell>
          <cell r="G106">
            <v>0.91783096164677702</v>
          </cell>
          <cell r="H106">
            <v>1.0904897276589103</v>
          </cell>
        </row>
        <row r="107">
          <cell r="F107">
            <v>2.1992240234273647E-3</v>
          </cell>
          <cell r="G107">
            <v>2.2123640459019078E-3</v>
          </cell>
          <cell r="H107">
            <v>3.9798121713057025E-4</v>
          </cell>
        </row>
        <row r="108">
          <cell r="F108">
            <v>9.4943407786836492E-3</v>
          </cell>
          <cell r="G108">
            <v>9.2188467765105975E-2</v>
          </cell>
          <cell r="H108">
            <v>0.10612356157357962</v>
          </cell>
        </row>
        <row r="109">
          <cell r="F109">
            <v>1.5813913508614205E-2</v>
          </cell>
          <cell r="G109">
            <v>5.8735860275793148E-3</v>
          </cell>
          <cell r="H109">
            <v>0</v>
          </cell>
        </row>
        <row r="110">
          <cell r="F110">
            <v>1.8137768323636665E-2</v>
          </cell>
          <cell r="G110">
            <v>1.8848593313704039E-2</v>
          </cell>
          <cell r="H110">
            <v>6.877740930514323E-3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5.2628243427521461E-2</v>
          </cell>
          <cell r="G112">
            <v>1.1072274097687894E-2</v>
          </cell>
          <cell r="H112">
            <v>0</v>
          </cell>
        </row>
        <row r="113">
          <cell r="F113">
            <v>0.93783786121293533</v>
          </cell>
          <cell r="G113">
            <v>2.0031279629035197</v>
          </cell>
          <cell r="H113">
            <v>0.78707041824682089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1.1649732364436489</v>
          </cell>
          <cell r="G115">
            <v>1.0059594343036926</v>
          </cell>
          <cell r="H115">
            <v>1.0059601783598462</v>
          </cell>
        </row>
        <row r="116">
          <cell r="F116">
            <v>1.2579543615808549E-2</v>
          </cell>
          <cell r="G116">
            <v>2.4342857903846419E-3</v>
          </cell>
          <cell r="H116">
            <v>0</v>
          </cell>
        </row>
        <row r="117">
          <cell r="F117">
            <v>6.1389851095382574E-3</v>
          </cell>
          <cell r="G117">
            <v>3.2296179150028571E-3</v>
          </cell>
          <cell r="H117">
            <v>1.2126916981345819E-3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5.1164257748086339E-3</v>
          </cell>
          <cell r="G119">
            <v>6.7036550446544965E-3</v>
          </cell>
          <cell r="H119">
            <v>7.9299804502829668E-3</v>
          </cell>
        </row>
        <row r="123">
          <cell r="F123">
            <v>11.345628365877305</v>
          </cell>
          <cell r="G123">
            <v>11.924691039361758</v>
          </cell>
          <cell r="H123">
            <v>13.172277583826935</v>
          </cell>
        </row>
      </sheetData>
      <sheetData sheetId="59">
        <row r="13">
          <cell r="F13">
            <v>16.078040908098451</v>
          </cell>
          <cell r="G13">
            <v>16.895332034480578</v>
          </cell>
          <cell r="H13">
            <v>17.358196187956597</v>
          </cell>
        </row>
        <row r="14">
          <cell r="F14">
            <v>167.60293030252663</v>
          </cell>
          <cell r="G14">
            <v>98.945514148005145</v>
          </cell>
          <cell r="H14">
            <v>0</v>
          </cell>
        </row>
        <row r="15">
          <cell r="F15">
            <v>72.61624215309584</v>
          </cell>
          <cell r="G15">
            <v>73.931684780467094</v>
          </cell>
          <cell r="H15">
            <v>74.836059984174653</v>
          </cell>
        </row>
        <row r="16">
          <cell r="F16">
            <v>63.870159829891385</v>
          </cell>
          <cell r="G16">
            <v>64.382938209233785</v>
          </cell>
          <cell r="H16">
            <v>67.134977010270831</v>
          </cell>
        </row>
        <row r="18">
          <cell r="F18">
            <v>2.0831748842930615E-2</v>
          </cell>
          <cell r="G18">
            <v>1.6652273714893969E-2</v>
          </cell>
          <cell r="H18">
            <v>1.8841080198879121E-4</v>
          </cell>
        </row>
        <row r="19">
          <cell r="F19">
            <v>20.958785157364463</v>
          </cell>
          <cell r="G19">
            <v>15.904151537911826</v>
          </cell>
          <cell r="H19">
            <v>9.7929041635856119E-3</v>
          </cell>
        </row>
        <row r="20">
          <cell r="F20">
            <v>0</v>
          </cell>
          <cell r="G20">
            <v>7.7826140175472167</v>
          </cell>
          <cell r="H20">
            <v>27.329380035574424</v>
          </cell>
        </row>
        <row r="21">
          <cell r="F21">
            <v>0</v>
          </cell>
          <cell r="G21">
            <v>3.2162111851619582E-5</v>
          </cell>
          <cell r="H21">
            <v>1.0777569110729393E-2</v>
          </cell>
        </row>
        <row r="22">
          <cell r="F22">
            <v>0</v>
          </cell>
          <cell r="G22">
            <v>2.7559227797994191E-5</v>
          </cell>
          <cell r="H22">
            <v>0.10977648476117809</v>
          </cell>
          <cell r="P22">
            <v>0.44758177089937373</v>
          </cell>
          <cell r="Q22">
            <v>0.1514953536442416</v>
          </cell>
          <cell r="R22">
            <v>0.39948470677772041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9.7648121934717363E-2</v>
          </cell>
          <cell r="Q23">
            <v>0.10265343823868375</v>
          </cell>
          <cell r="R23">
            <v>0.68559398648917769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2.5949267300513972</v>
          </cell>
          <cell r="G25">
            <v>3.1069118428847178</v>
          </cell>
          <cell r="H25">
            <v>3.7094370024224177</v>
          </cell>
        </row>
        <row r="26">
          <cell r="F26">
            <v>40.517575807667185</v>
          </cell>
          <cell r="G26">
            <v>34.761462863018707</v>
          </cell>
          <cell r="H26">
            <v>16.935592761702882</v>
          </cell>
        </row>
        <row r="27">
          <cell r="F27">
            <v>0</v>
          </cell>
          <cell r="G27">
            <v>9.0320753913726399</v>
          </cell>
          <cell r="H27">
            <v>27.672289793773572</v>
          </cell>
        </row>
        <row r="28">
          <cell r="F28">
            <v>1.4626868691923962E-2</v>
          </cell>
          <cell r="G28">
            <v>6.2039837738184942E-3</v>
          </cell>
          <cell r="H28">
            <v>1.1536486109683952E-4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1.6598218025326652E-2</v>
          </cell>
          <cell r="H30">
            <v>0.84020898570917124</v>
          </cell>
        </row>
        <row r="31">
          <cell r="F31">
            <v>0</v>
          </cell>
          <cell r="G31">
            <v>8.8828169177910428E-3</v>
          </cell>
          <cell r="H31">
            <v>3.8756501907343832</v>
          </cell>
        </row>
        <row r="32">
          <cell r="F32">
            <v>0</v>
          </cell>
          <cell r="G32">
            <v>0.32191544117571202</v>
          </cell>
          <cell r="H32">
            <v>9.010984346941088</v>
          </cell>
        </row>
        <row r="33">
          <cell r="F33">
            <v>3.6359078303036996</v>
          </cell>
          <cell r="G33">
            <v>7.1993529207808624</v>
          </cell>
          <cell r="H33">
            <v>21.925692576183096</v>
          </cell>
        </row>
        <row r="34">
          <cell r="F34">
            <v>2.1017921774747581</v>
          </cell>
          <cell r="G34">
            <v>20.807704349513344</v>
          </cell>
          <cell r="H34">
            <v>27.762573350384329</v>
          </cell>
        </row>
        <row r="35">
          <cell r="F35">
            <v>22.482467503971549</v>
          </cell>
          <cell r="G35">
            <v>40.847642199504989</v>
          </cell>
          <cell r="H35">
            <v>45.121216578743599</v>
          </cell>
        </row>
        <row r="36">
          <cell r="F36">
            <v>11.802083835542931</v>
          </cell>
          <cell r="G36">
            <v>12.452302987105362</v>
          </cell>
          <cell r="H36">
            <v>13.863122449251357</v>
          </cell>
        </row>
        <row r="37">
          <cell r="F37">
            <v>3.9814351276249642</v>
          </cell>
          <cell r="G37">
            <v>15.480090646145115</v>
          </cell>
          <cell r="H37">
            <v>17.099656928443352</v>
          </cell>
        </row>
        <row r="38">
          <cell r="F38">
            <v>18.815576246642379</v>
          </cell>
          <cell r="G38">
            <v>40.476872399470693</v>
          </cell>
          <cell r="H38">
            <v>44.711652746659489</v>
          </cell>
        </row>
        <row r="39">
          <cell r="F39">
            <v>1.8494077174026249</v>
          </cell>
          <cell r="G39">
            <v>0.6460531660872354</v>
          </cell>
          <cell r="H39">
            <v>2.748125728439168</v>
          </cell>
        </row>
        <row r="40">
          <cell r="F40">
            <v>0</v>
          </cell>
          <cell r="G40">
            <v>0.25344778173609489</v>
          </cell>
          <cell r="H40">
            <v>1.1562892758974435</v>
          </cell>
        </row>
        <row r="41">
          <cell r="F41">
            <v>0.62346425904122649</v>
          </cell>
          <cell r="G41">
            <v>0</v>
          </cell>
          <cell r="H41">
            <v>0</v>
          </cell>
        </row>
        <row r="42">
          <cell r="F42">
            <v>7.9659467258060577</v>
          </cell>
          <cell r="G42">
            <v>7.2260264582268441</v>
          </cell>
          <cell r="H42">
            <v>6.2011675541345426</v>
          </cell>
        </row>
        <row r="43">
          <cell r="F43">
            <v>0</v>
          </cell>
          <cell r="G43">
            <v>0.84594503497778395</v>
          </cell>
          <cell r="H43">
            <v>3.3637577321876173</v>
          </cell>
        </row>
        <row r="44">
          <cell r="F44">
            <v>4.3735224404760221E-2</v>
          </cell>
          <cell r="G44">
            <v>2.2694257811243904E-2</v>
          </cell>
          <cell r="H44">
            <v>4.4118660088675312E-3</v>
          </cell>
        </row>
        <row r="45">
          <cell r="F45">
            <v>0</v>
          </cell>
          <cell r="G45">
            <v>3.2236915720561519</v>
          </cell>
          <cell r="H45">
            <v>5.7586668823256097</v>
          </cell>
        </row>
        <row r="46">
          <cell r="F46">
            <v>2.6970430681970428E-2</v>
          </cell>
          <cell r="G46">
            <v>0.27935899322759417</v>
          </cell>
          <cell r="H46">
            <v>0.3537452052452657</v>
          </cell>
        </row>
        <row r="47">
          <cell r="B47">
            <v>0</v>
          </cell>
        </row>
        <row r="48">
          <cell r="F48">
            <v>3.3108485261294389E-2</v>
          </cell>
          <cell r="G48">
            <v>9.9061598164394797E-3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3.1806884227488355E-2</v>
          </cell>
          <cell r="G50">
            <v>3.0525731089004936E-2</v>
          </cell>
          <cell r="H50">
            <v>1.186938299348967E-2</v>
          </cell>
        </row>
        <row r="51">
          <cell r="F51">
            <v>9.35869879329215E-2</v>
          </cell>
          <cell r="G51">
            <v>1.8797771230105832E-2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1.3176894563636501</v>
          </cell>
          <cell r="G53">
            <v>2.7490836542750103</v>
          </cell>
          <cell r="H53">
            <v>1.0394937199894989</v>
          </cell>
        </row>
        <row r="54">
          <cell r="F54">
            <v>4.4092001706271731</v>
          </cell>
          <cell r="G54">
            <v>2.9499119296165515</v>
          </cell>
          <cell r="H54">
            <v>2.8720817471328273</v>
          </cell>
        </row>
        <row r="55">
          <cell r="F55">
            <v>2.8593802170940374E-2</v>
          </cell>
          <cell r="G55">
            <v>4.9006639015289535E-3</v>
          </cell>
          <cell r="H55">
            <v>0</v>
          </cell>
        </row>
        <row r="56">
          <cell r="F56">
            <v>1.3745317221567559E-2</v>
          </cell>
          <cell r="G56">
            <v>7.1729990537729525E-3</v>
          </cell>
          <cell r="H56">
            <v>2.9848605837025583E-3</v>
          </cell>
        </row>
        <row r="57">
          <cell r="F57">
            <v>1.4587151950619869E-2</v>
          </cell>
          <cell r="G57">
            <v>1.9716632484277928E-2</v>
          </cell>
          <cell r="H57">
            <v>2.4399939847024474E-2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5.0962365732408622E-2</v>
          </cell>
          <cell r="G63">
            <v>2.9085268794121846E-2</v>
          </cell>
          <cell r="H63">
            <v>0.13488217572472258</v>
          </cell>
        </row>
        <row r="64">
          <cell r="F64">
            <v>0.18949243662099308</v>
          </cell>
          <cell r="G64">
            <v>1.7877004238148997</v>
          </cell>
          <cell r="H64">
            <v>2.9446994206140209</v>
          </cell>
        </row>
        <row r="65">
          <cell r="F65">
            <v>0.1335458823927323</v>
          </cell>
          <cell r="G65">
            <v>0.63846195408731121</v>
          </cell>
          <cell r="H65">
            <v>2.5219234522102965</v>
          </cell>
        </row>
        <row r="66">
          <cell r="F66">
            <v>0.30382771962696886</v>
          </cell>
          <cell r="G66">
            <v>0.36252675538301199</v>
          </cell>
          <cell r="H66">
            <v>0.48184673323784583</v>
          </cell>
        </row>
        <row r="67">
          <cell r="F67">
            <v>0.74993901477260849</v>
          </cell>
          <cell r="G67">
            <v>0.56640627166816726</v>
          </cell>
          <cell r="H67">
            <v>0.77820393577313807</v>
          </cell>
        </row>
        <row r="68">
          <cell r="F68">
            <v>0.1115922917144276</v>
          </cell>
          <cell r="G68">
            <v>0.27981434141344347</v>
          </cell>
          <cell r="H68">
            <v>0.39871521044300134</v>
          </cell>
        </row>
        <row r="69">
          <cell r="F69">
            <v>0.48689424420728689</v>
          </cell>
          <cell r="G69">
            <v>0.76411945819885041</v>
          </cell>
          <cell r="H69">
            <v>1.03115231393114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1.1840004193713671</v>
          </cell>
          <cell r="G91">
            <v>1.1839969357448774</v>
          </cell>
          <cell r="H91">
            <v>1.1840069425798589</v>
          </cell>
        </row>
        <row r="92">
          <cell r="F92">
            <v>0.64947473103258246</v>
          </cell>
          <cell r="G92">
            <v>0</v>
          </cell>
          <cell r="H92">
            <v>0</v>
          </cell>
        </row>
        <row r="93">
          <cell r="F93">
            <v>1.6875768895671368E-4</v>
          </cell>
          <cell r="G93">
            <v>3.8149135556818972E-4</v>
          </cell>
          <cell r="H93">
            <v>8.4477883813211847E-6</v>
          </cell>
        </row>
        <row r="94">
          <cell r="F94">
            <v>2.9796381792141382</v>
          </cell>
          <cell r="G94">
            <v>2.4955237138946149</v>
          </cell>
          <cell r="H94">
            <v>3.0999253434830516</v>
          </cell>
        </row>
        <row r="95">
          <cell r="F95">
            <v>2.6207976457033849E-4</v>
          </cell>
          <cell r="G95">
            <v>2.624131958825461E-4</v>
          </cell>
          <cell r="H95">
            <v>2.6565441707310163E-4</v>
          </cell>
        </row>
        <row r="96">
          <cell r="F96">
            <v>0</v>
          </cell>
          <cell r="G96">
            <v>4.5492775932059034E-4</v>
          </cell>
          <cell r="H96">
            <v>4.5833842324175022E-4</v>
          </cell>
        </row>
        <row r="97">
          <cell r="F97">
            <v>3.7818761219591068</v>
          </cell>
          <cell r="G97">
            <v>3.9748970131205903</v>
          </cell>
          <cell r="H97">
            <v>4.3907591946089761</v>
          </cell>
        </row>
      </sheetData>
      <sheetData sheetId="60">
        <row r="14">
          <cell r="F14">
            <v>2.0753297974976745</v>
          </cell>
          <cell r="G14">
            <v>1.2356853495232283</v>
          </cell>
          <cell r="H14">
            <v>0</v>
          </cell>
        </row>
        <row r="15">
          <cell r="F15">
            <v>7.4658701120655611</v>
          </cell>
          <cell r="G15">
            <v>7.6233275892852017</v>
          </cell>
          <cell r="H15">
            <v>7.7285660205218365</v>
          </cell>
        </row>
        <row r="16">
          <cell r="F16">
            <v>4.9025043515525644</v>
          </cell>
          <cell r="G16">
            <v>5.0159714703635201</v>
          </cell>
          <cell r="H16">
            <v>5.3658057879153409</v>
          </cell>
        </row>
        <row r="17">
          <cell r="F17">
            <v>4.3599967853262118</v>
          </cell>
          <cell r="G17">
            <v>4.3599970513878672</v>
          </cell>
          <cell r="H17">
            <v>4.3599978156350128</v>
          </cell>
        </row>
        <row r="18">
          <cell r="F18">
            <v>4.0091211528345612E-2</v>
          </cell>
          <cell r="G18">
            <v>3.7152504518155244E-2</v>
          </cell>
          <cell r="H18">
            <v>1.2695568602278974E-3</v>
          </cell>
        </row>
        <row r="19">
          <cell r="F19">
            <v>0.2794889747117914</v>
          </cell>
          <cell r="G19">
            <v>0.2350021398945242</v>
          </cell>
          <cell r="H19">
            <v>2.158460768567072E-4</v>
          </cell>
        </row>
        <row r="20">
          <cell r="F20">
            <v>0</v>
          </cell>
          <cell r="G20">
            <v>0.113744398037737</v>
          </cell>
          <cell r="H20">
            <v>0.34808049093013665</v>
          </cell>
        </row>
        <row r="21">
          <cell r="F21">
            <v>0</v>
          </cell>
          <cell r="G21">
            <v>5.9172168763437798E-6</v>
          </cell>
          <cell r="H21">
            <v>7.0061401900301456E-4</v>
          </cell>
        </row>
        <row r="22">
          <cell r="F22">
            <v>3.6557338585217801E-4</v>
          </cell>
          <cell r="G22">
            <v>1.523512605783916E-3</v>
          </cell>
          <cell r="H22">
            <v>3.7288518884872744E-2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-1.108365424722698E-6</v>
          </cell>
          <cell r="G24">
            <v>0</v>
          </cell>
          <cell r="H24">
            <v>0</v>
          </cell>
        </row>
        <row r="25">
          <cell r="F25">
            <v>2.8175709677442359E-2</v>
          </cell>
          <cell r="G25">
            <v>5.380289971140783E-2</v>
          </cell>
          <cell r="H25">
            <v>0.10209617036764271</v>
          </cell>
        </row>
        <row r="26">
          <cell r="F26">
            <v>6.9926323170743029E-2</v>
          </cell>
          <cell r="G26">
            <v>5.1956357623328099E-2</v>
          </cell>
          <cell r="H26">
            <v>1.2015511905464835E-4</v>
          </cell>
        </row>
        <row r="27">
          <cell r="F27">
            <v>0</v>
          </cell>
          <cell r="G27">
            <v>4.3638692465588297E-2</v>
          </cell>
          <cell r="H27">
            <v>8.1642478382213002E-2</v>
          </cell>
        </row>
        <row r="28">
          <cell r="F28">
            <v>9.8548399658892911E-4</v>
          </cell>
          <cell r="G28">
            <v>3.3593036440236496E-4</v>
          </cell>
          <cell r="H28">
            <v>1.6452240963908381E-4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7.6410058741667398E-4</v>
          </cell>
          <cell r="H30">
            <v>3.7591440266390046E-2</v>
          </cell>
        </row>
        <row r="31">
          <cell r="F31">
            <v>0</v>
          </cell>
          <cell r="G31">
            <v>2.8856411979626801E-4</v>
          </cell>
          <cell r="H31">
            <v>0.10819049035269986</v>
          </cell>
        </row>
        <row r="32">
          <cell r="F32">
            <v>0</v>
          </cell>
          <cell r="G32">
            <v>1.9161932607464701E-3</v>
          </cell>
          <cell r="H32">
            <v>5.3640032772868898E-2</v>
          </cell>
        </row>
        <row r="33">
          <cell r="F33">
            <v>0.6045053368079768</v>
          </cell>
          <cell r="G33">
            <v>1.1969625587523769</v>
          </cell>
          <cell r="H33">
            <v>3.64535688387905</v>
          </cell>
        </row>
        <row r="34">
          <cell r="F34">
            <v>0.43581847545224406</v>
          </cell>
          <cell r="G34">
            <v>5.5169122865258933</v>
          </cell>
          <cell r="H34">
            <v>6.5591240425179933</v>
          </cell>
        </row>
        <row r="35">
          <cell r="F35">
            <v>6.4810430244066097</v>
          </cell>
          <cell r="G35">
            <v>11.775188540160537</v>
          </cell>
          <cell r="H35">
            <v>13.007134835387699</v>
          </cell>
        </row>
        <row r="36">
          <cell r="F36">
            <v>3.4022012631986049</v>
          </cell>
          <cell r="G36">
            <v>3.589641770032177</v>
          </cell>
          <cell r="H36">
            <v>3.99633782306192</v>
          </cell>
        </row>
        <row r="37">
          <cell r="F37">
            <v>1.147736266466975</v>
          </cell>
          <cell r="G37">
            <v>4.4624646344958121</v>
          </cell>
          <cell r="H37">
            <v>4.9293363327497293</v>
          </cell>
        </row>
        <row r="38">
          <cell r="F38">
            <v>5.423985001451209</v>
          </cell>
          <cell r="G38">
            <v>11.66830631127759</v>
          </cell>
          <cell r="H38">
            <v>12.8890695293906</v>
          </cell>
        </row>
        <row r="39">
          <cell r="F39">
            <v>3.3471612627212009E-2</v>
          </cell>
          <cell r="G39">
            <v>3.3434914067643449E-2</v>
          </cell>
          <cell r="H39">
            <v>3.6639781388547218E-2</v>
          </cell>
        </row>
        <row r="40">
          <cell r="F40">
            <v>0</v>
          </cell>
          <cell r="G40">
            <v>1.2245939601713199E-2</v>
          </cell>
          <cell r="H40">
            <v>2.808973225432913E-2</v>
          </cell>
        </row>
        <row r="41">
          <cell r="F41">
            <v>1.1087377497244137E-2</v>
          </cell>
          <cell r="G41">
            <v>0</v>
          </cell>
          <cell r="H41">
            <v>0</v>
          </cell>
        </row>
        <row r="42">
          <cell r="F42">
            <v>0.13621391181136891</v>
          </cell>
          <cell r="G42">
            <v>0.12191772383870794</v>
          </cell>
          <cell r="H42">
            <v>0.11017725912870721</v>
          </cell>
        </row>
        <row r="43">
          <cell r="F43">
            <v>0</v>
          </cell>
          <cell r="G43">
            <v>2.0894580460141001E-2</v>
          </cell>
          <cell r="H43">
            <v>5.1455391416000501E-2</v>
          </cell>
        </row>
        <row r="44">
          <cell r="F44">
            <v>6.4375314728388772E-4</v>
          </cell>
          <cell r="G44">
            <v>5.2701983606878288E-4</v>
          </cell>
          <cell r="H44">
            <v>1.4782698362695744E-4</v>
          </cell>
        </row>
        <row r="45">
          <cell r="F45">
            <v>0</v>
          </cell>
          <cell r="G45">
            <v>1.7899235343575501E-2</v>
          </cell>
          <cell r="H45">
            <v>3.229637219545671E-2</v>
          </cell>
        </row>
        <row r="46">
          <cell r="F46">
            <v>1.1209268885622201E-3</v>
          </cell>
          <cell r="G46">
            <v>1.8619701869222086E-2</v>
          </cell>
          <cell r="H46">
            <v>2.1038940298555357E-2</v>
          </cell>
        </row>
        <row r="47">
          <cell r="F47">
            <v>4.5757158043517598E-4</v>
          </cell>
          <cell r="G47">
            <v>4.6005462371439941E-4</v>
          </cell>
          <cell r="H47">
            <v>2.0051245362850159E-4</v>
          </cell>
        </row>
        <row r="48">
          <cell r="F48">
            <v>6.1975339198202021E-4</v>
          </cell>
          <cell r="G48">
            <v>2.4247677375369093E-4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6.1020780786222794E-4</v>
          </cell>
          <cell r="G50">
            <v>6.4745224888552988E-4</v>
          </cell>
          <cell r="H50">
            <v>2.4595249026461972E-4</v>
          </cell>
        </row>
        <row r="51">
          <cell r="F51">
            <v>1.9121735645095748E-3</v>
          </cell>
          <cell r="G51">
            <v>7.477536546821738E-4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2.6162837818976117E-2</v>
          </cell>
          <cell r="G53">
            <v>5.5877791017879E-2</v>
          </cell>
          <cell r="H53">
            <v>2.1956086346689472E-2</v>
          </cell>
        </row>
        <row r="54">
          <cell r="F54">
            <v>8.4751665695271566E-2</v>
          </cell>
          <cell r="G54">
            <v>8.4749599533923178E-2</v>
          </cell>
          <cell r="H54">
            <v>8.474880271931548E-2</v>
          </cell>
        </row>
        <row r="55">
          <cell r="F55">
            <v>5.2112454396993982E-4</v>
          </cell>
          <cell r="G55">
            <v>2.630637273297997E-4</v>
          </cell>
          <cell r="H55">
            <v>0</v>
          </cell>
        </row>
        <row r="56">
          <cell r="F56">
            <v>3.1983258502455005E-4</v>
          </cell>
          <cell r="G56">
            <v>2.6290633177241784E-4</v>
          </cell>
          <cell r="H56">
            <v>1.0830311719714477E-4</v>
          </cell>
        </row>
        <row r="57">
          <cell r="F57">
            <v>4.3753189081328925E-4</v>
          </cell>
          <cell r="G57">
            <v>6.2522730557778379E-4</v>
          </cell>
          <cell r="H57">
            <v>8.260350022361437E-4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9.9996830471237447E-2</v>
          </cell>
          <cell r="G63">
            <v>9.9997581557615414E-2</v>
          </cell>
          <cell r="H63">
            <v>9.999772837918687E-2</v>
          </cell>
        </row>
        <row r="64">
          <cell r="F64">
            <v>4.9144227958177585E-2</v>
          </cell>
          <cell r="G64">
            <v>1.1173121915537889</v>
          </cell>
          <cell r="H64">
            <v>1.1174011424069468</v>
          </cell>
        </row>
        <row r="65">
          <cell r="F65">
            <v>3.4126445168775145E-2</v>
          </cell>
          <cell r="G65">
            <v>0.22282930113109764</v>
          </cell>
          <cell r="H65">
            <v>0.63100023159818364</v>
          </cell>
        </row>
        <row r="66">
          <cell r="F66">
            <v>0.13492820548641962</v>
          </cell>
          <cell r="G66">
            <v>0.25297095256369967</v>
          </cell>
          <cell r="H66">
            <v>0.30755585226615567</v>
          </cell>
        </row>
        <row r="67">
          <cell r="F67">
            <v>0.3605293911203209</v>
          </cell>
          <cell r="G67">
            <v>0.40007793066875019</v>
          </cell>
          <cell r="H67">
            <v>0.49126119495839116</v>
          </cell>
        </row>
        <row r="68">
          <cell r="F68">
            <v>4.2215388794788922E-2</v>
          </cell>
          <cell r="G68">
            <v>0.18818204784754267</v>
          </cell>
          <cell r="H68">
            <v>0.2327240920155636</v>
          </cell>
        </row>
        <row r="69">
          <cell r="F69">
            <v>0.22577252836776754</v>
          </cell>
          <cell r="G69">
            <v>0.51083085320807464</v>
          </cell>
          <cell r="H69">
            <v>0.61273320703034129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3.5061299814235204E-2</v>
          </cell>
          <cell r="G15">
            <v>5.4290499704810459E-2</v>
          </cell>
          <cell r="H15">
            <v>0.16975734910380755</v>
          </cell>
        </row>
        <row r="16">
          <cell r="F16">
            <v>6.1437290084273399E-2</v>
          </cell>
          <cell r="G16">
            <v>0.4018610533433819</v>
          </cell>
          <cell r="H16">
            <v>5.0052801381894727E-6</v>
          </cell>
        </row>
        <row r="17">
          <cell r="F17">
            <v>2.5719639316553802E-7</v>
          </cell>
          <cell r="G17">
            <v>3.8407013838203599E-7</v>
          </cell>
          <cell r="H17">
            <v>1.2529937832557799E-6</v>
          </cell>
        </row>
        <row r="18">
          <cell r="F18">
            <v>1.8760200602310201E-5</v>
          </cell>
          <cell r="G18">
            <v>3.4583859344325401E-6</v>
          </cell>
          <cell r="H18">
            <v>5.3702683197388804E-6</v>
          </cell>
        </row>
        <row r="19">
          <cell r="F19">
            <v>7.5364937576352306E-2</v>
          </cell>
          <cell r="G19">
            <v>1.24672168458204E-7</v>
          </cell>
          <cell r="H19">
            <v>7.4410029961262304E-8</v>
          </cell>
        </row>
        <row r="20">
          <cell r="F20">
            <v>0</v>
          </cell>
          <cell r="G20">
            <v>0.113744398037737</v>
          </cell>
          <cell r="H20">
            <v>0.23433615219450801</v>
          </cell>
        </row>
        <row r="21">
          <cell r="F21">
            <v>0</v>
          </cell>
          <cell r="G21">
            <v>1.22894122770338E-5</v>
          </cell>
          <cell r="H21">
            <v>9.3078750547020701E-4</v>
          </cell>
        </row>
        <row r="22">
          <cell r="F22">
            <v>1.5180492082183801E-3</v>
          </cell>
          <cell r="G22">
            <v>1.49030840561484E-5</v>
          </cell>
          <cell r="H22">
            <v>4.8325236136849699E-2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2.75526870859964E-2</v>
          </cell>
          <cell r="G25">
            <v>2.5725108754514999E-2</v>
          </cell>
          <cell r="H25">
            <v>5.4302640699313301E-2</v>
          </cell>
        </row>
        <row r="26">
          <cell r="F26">
            <v>2.33031225785641E-3</v>
          </cell>
          <cell r="G26">
            <v>2.0076234531361602E-3</v>
          </cell>
          <cell r="H26">
            <v>7.1207777405961196E-8</v>
          </cell>
        </row>
        <row r="27">
          <cell r="F27">
            <v>0</v>
          </cell>
          <cell r="G27">
            <v>4.3638692465588297E-2</v>
          </cell>
          <cell r="H27">
            <v>3.8003845114694901E-2</v>
          </cell>
        </row>
        <row r="28">
          <cell r="F28">
            <v>2.4878975648600299E-5</v>
          </cell>
          <cell r="G28">
            <v>6.3618673677509095E-5</v>
          </cell>
          <cell r="H28">
            <v>8.2883039491096102E-5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7.6410058741667398E-4</v>
          </cell>
          <cell r="H30">
            <v>3.6827512465647201E-2</v>
          </cell>
        </row>
        <row r="31">
          <cell r="F31">
            <v>0</v>
          </cell>
          <cell r="G31">
            <v>5.9931611611419304E-4</v>
          </cell>
          <cell r="H31">
            <v>0.14540065864021401</v>
          </cell>
        </row>
        <row r="32">
          <cell r="F32">
            <v>0</v>
          </cell>
          <cell r="G32">
            <v>1.22401381725744E-2</v>
          </cell>
          <cell r="H32">
            <v>7.1751783007571901E-2</v>
          </cell>
        </row>
        <row r="33">
          <cell r="F33">
            <v>0.74282620373569996</v>
          </cell>
          <cell r="G33">
            <v>1.0325616328441799E-5</v>
          </cell>
          <cell r="H33">
            <v>4.4927947670895501</v>
          </cell>
        </row>
        <row r="34">
          <cell r="F34">
            <v>0.60783054214880694</v>
          </cell>
          <cell r="G34">
            <v>4.7212669283875526</v>
          </cell>
          <cell r="H34">
            <v>1.8208807323645335</v>
          </cell>
        </row>
        <row r="35">
          <cell r="F35">
            <v>1.37873804760527</v>
          </cell>
          <cell r="G35">
            <v>6.0065758750959901</v>
          </cell>
          <cell r="H35">
            <v>5.3499915974015302</v>
          </cell>
        </row>
        <row r="36">
          <cell r="F36">
            <v>0.40045933026602598</v>
          </cell>
          <cell r="G36">
            <v>0.77056065621144598</v>
          </cell>
          <cell r="H36">
            <v>2.3964363676762082</v>
          </cell>
        </row>
        <row r="37">
          <cell r="F37">
            <v>0.14417253248501691</v>
          </cell>
          <cell r="G37">
            <v>3.5397323813977701</v>
          </cell>
          <cell r="H37">
            <v>1.2746666938559521</v>
          </cell>
        </row>
        <row r="38">
          <cell r="F38">
            <v>0.73008837675831695</v>
          </cell>
          <cell r="G38">
            <v>6.6517717188149197</v>
          </cell>
          <cell r="H38">
            <v>5.1184527718019899</v>
          </cell>
        </row>
        <row r="39">
          <cell r="F39">
            <v>3.1355728955164197E-2</v>
          </cell>
          <cell r="G39">
            <v>4.3296578953831016E-6</v>
          </cell>
          <cell r="H39">
            <v>1.11130396363253E-2</v>
          </cell>
        </row>
        <row r="40">
          <cell r="F40">
            <v>0</v>
          </cell>
          <cell r="G40">
            <v>1.2245939601713199E-2</v>
          </cell>
          <cell r="H40">
            <v>1.58440596624254E-2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5.1367498366013502E-2</v>
          </cell>
          <cell r="G42">
            <v>3.3216616114561802E-2</v>
          </cell>
          <cell r="H42">
            <v>6.4343054619247997E-2</v>
          </cell>
        </row>
        <row r="43">
          <cell r="F43">
            <v>0</v>
          </cell>
          <cell r="G43">
            <v>2.0894580460141001E-2</v>
          </cell>
          <cell r="H43">
            <v>3.62914939087573E-2</v>
          </cell>
        </row>
        <row r="44">
          <cell r="F44">
            <v>1.4303870982300699E-6</v>
          </cell>
          <cell r="G44">
            <v>2.0655875099511901E-7</v>
          </cell>
          <cell r="H44">
            <v>7.7222441648848096E-8</v>
          </cell>
        </row>
        <row r="45">
          <cell r="F45">
            <v>0</v>
          </cell>
          <cell r="G45">
            <v>1.7899235343575501E-2</v>
          </cell>
          <cell r="H45">
            <v>1.4397194337301999E-2</v>
          </cell>
        </row>
        <row r="46">
          <cell r="F46">
            <v>1.1209268885622201E-3</v>
          </cell>
          <cell r="G46">
            <v>1.7498898823704801E-2</v>
          </cell>
          <cell r="H46">
            <v>7.8655803786950706E-3</v>
          </cell>
        </row>
        <row r="47">
          <cell r="F47">
            <v>4.5757158043517598E-4</v>
          </cell>
          <cell r="G47">
            <v>2.6471711326549298E-6</v>
          </cell>
          <cell r="H47">
            <v>5.2989594497721198E-6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3.8017480766989998E-4</v>
          </cell>
          <cell r="G50">
            <v>1.103534585584392E-4</v>
          </cell>
          <cell r="H50">
            <v>5.2444677385117197E-6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2.56474308630395E-2</v>
          </cell>
          <cell r="G53">
            <v>2.9878644307745401E-2</v>
          </cell>
          <cell r="H53">
            <v>1.8726839007140821E-6</v>
          </cell>
        </row>
        <row r="54">
          <cell r="F54">
            <v>4.4080299802436898E-2</v>
          </cell>
          <cell r="G54">
            <v>3.1156687737714399E-2</v>
          </cell>
          <cell r="H54">
            <v>4.34919517547823E-2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1.3429869771695201E-4</v>
          </cell>
          <cell r="G56">
            <v>2.34127357481761E-6</v>
          </cell>
          <cell r="H56">
            <v>5.0048231790331401E-5</v>
          </cell>
        </row>
        <row r="57">
          <cell r="F57">
            <v>9.25399287395984E-5</v>
          </cell>
          <cell r="G57">
            <v>2.9719402181534101E-4</v>
          </cell>
          <cell r="H57">
            <v>5.7139188450537398E-4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1.3683099323895099E-6</v>
          </cell>
          <cell r="G63">
            <v>1.7482820976886399E-6</v>
          </cell>
          <cell r="H63">
            <v>1.1017229183443101E-6</v>
          </cell>
        </row>
        <row r="64">
          <cell r="F64">
            <v>2.59889728359563E-2</v>
          </cell>
          <cell r="G64">
            <v>1.08768877406064</v>
          </cell>
          <cell r="H64">
            <v>0.56736001561687399</v>
          </cell>
        </row>
        <row r="65">
          <cell r="F65">
            <v>2.1727470519249101E-2</v>
          </cell>
          <cell r="G65">
            <v>0.199173030589162</v>
          </cell>
          <cell r="H65">
            <v>0.52730200725075005</v>
          </cell>
        </row>
        <row r="66">
          <cell r="F66">
            <v>5.5881601519179397E-2</v>
          </cell>
          <cell r="G66">
            <v>0.189286652461266</v>
          </cell>
          <cell r="H66">
            <v>0.20282162795374001</v>
          </cell>
        </row>
        <row r="67">
          <cell r="F67">
            <v>9.3062635309498903E-2</v>
          </cell>
          <cell r="G67">
            <v>0.27115394372969703</v>
          </cell>
          <cell r="H67">
            <v>0.33894586080164102</v>
          </cell>
        </row>
        <row r="68">
          <cell r="F68">
            <v>2.23539161470785E-2</v>
          </cell>
          <cell r="G68">
            <v>0.16555603108638439</v>
          </cell>
          <cell r="H68">
            <v>0.1457752462687254</v>
          </cell>
        </row>
        <row r="69">
          <cell r="F69">
            <v>7.8472572930659498E-2</v>
          </cell>
          <cell r="G69">
            <v>0.41741913480027099</v>
          </cell>
          <cell r="H69">
            <v>0.389624877371128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1.0110557182692931E-3</v>
          </cell>
        </row>
      </sheetData>
      <sheetData sheetId="67">
        <row r="5">
          <cell r="F5">
            <v>1.0336747124548799E-3</v>
          </cell>
          <cell r="G5">
            <v>6.3524459509513367E-2</v>
          </cell>
          <cell r="H5">
            <v>5.8809995225787164E-2</v>
          </cell>
        </row>
        <row r="12">
          <cell r="F12">
            <v>3.2407171247857179E-4</v>
          </cell>
          <cell r="G12">
            <v>4.5504476860026459E-4</v>
          </cell>
          <cell r="H12">
            <v>5.2989314194469409E-4</v>
          </cell>
        </row>
        <row r="19">
          <cell r="F19">
            <v>4.384767594218733</v>
          </cell>
          <cell r="G19">
            <v>6.0700282868418682</v>
          </cell>
          <cell r="H19">
            <v>6.2044272602929329</v>
          </cell>
        </row>
        <row r="20">
          <cell r="F20">
            <v>7.6715591444915621</v>
          </cell>
          <cell r="G20">
            <v>8.5092882418545308</v>
          </cell>
          <cell r="H20">
            <v>9.9632335760672444</v>
          </cell>
        </row>
        <row r="21">
          <cell r="F21">
            <v>6.8187533611363961E-4</v>
          </cell>
          <cell r="G21">
            <v>2.0915532678299935</v>
          </cell>
          <cell r="H21">
            <v>2.0915703929021685</v>
          </cell>
        </row>
        <row r="28">
          <cell r="F28">
            <v>8.8714413739847338</v>
          </cell>
          <cell r="G28">
            <v>29.603771393230119</v>
          </cell>
          <cell r="H28">
            <v>35.69078886764369</v>
          </cell>
        </row>
        <row r="29">
          <cell r="F29">
            <v>0</v>
          </cell>
          <cell r="G29">
            <v>0</v>
          </cell>
          <cell r="H29">
            <v>3.5358505028280115E-4</v>
          </cell>
        </row>
        <row r="30">
          <cell r="F30">
            <v>0</v>
          </cell>
          <cell r="G30">
            <v>0</v>
          </cell>
          <cell r="H30">
            <v>3.7661043942800536E-4</v>
          </cell>
        </row>
        <row r="31">
          <cell r="F31">
            <v>0.9499052487477605</v>
          </cell>
          <cell r="G31">
            <v>2.044774049737065</v>
          </cell>
          <cell r="H31">
            <v>1.865527642336164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4.3714016888947773</v>
          </cell>
          <cell r="G38">
            <v>9.2559455104319373</v>
          </cell>
          <cell r="H38">
            <v>10.236196982107561</v>
          </cell>
        </row>
        <row r="39">
          <cell r="F39">
            <v>3.9895621500421119</v>
          </cell>
          <cell r="G39">
            <v>8.4474437490112759</v>
          </cell>
          <cell r="H39">
            <v>9.3420707925188857</v>
          </cell>
        </row>
      </sheetData>
      <sheetData sheetId="68">
        <row r="3">
          <cell r="F3">
            <v>54.682948653280341</v>
          </cell>
          <cell r="G3">
            <v>55.206624505836828</v>
          </cell>
          <cell r="H3">
            <v>56.694147471420592</v>
          </cell>
        </row>
        <row r="6">
          <cell r="F6">
            <v>2.2155072224837347</v>
          </cell>
          <cell r="G6">
            <v>14.708174175247871</v>
          </cell>
          <cell r="H6">
            <v>15.047191049481663</v>
          </cell>
        </row>
        <row r="11">
          <cell r="F11">
            <v>73.893484237318177</v>
          </cell>
          <cell r="G11">
            <v>71.032892098388288</v>
          </cell>
          <cell r="H11">
            <v>74.955618176397337</v>
          </cell>
        </row>
        <row r="18">
          <cell r="F18">
            <v>6.1393082000861937E-3</v>
          </cell>
          <cell r="G18">
            <v>6.3677787950264936E-4</v>
          </cell>
          <cell r="H18">
            <v>4.2134060454579094E-6</v>
          </cell>
        </row>
        <row r="19">
          <cell r="F19">
            <v>15.339552118147797</v>
          </cell>
          <cell r="G19">
            <v>14.816594566133903</v>
          </cell>
          <cell r="H19">
            <v>18.515793465850589</v>
          </cell>
        </row>
        <row r="21">
          <cell r="F21">
            <v>10.75124450574925</v>
          </cell>
          <cell r="G21">
            <v>8.3247911362206093</v>
          </cell>
          <cell r="H21">
            <v>5.9487238321404599</v>
          </cell>
        </row>
        <row r="22">
          <cell r="F22">
            <v>1.1055182339051275</v>
          </cell>
          <cell r="G22">
            <v>1.0625543929346366</v>
          </cell>
          <cell r="H22">
            <v>0.72022861456633624</v>
          </cell>
        </row>
        <row r="23">
          <cell r="F23">
            <v>10.049692279852634</v>
          </cell>
          <cell r="G23">
            <v>10.600254243133543</v>
          </cell>
          <cell r="H23">
            <v>10.435844940591124</v>
          </cell>
        </row>
        <row r="24">
          <cell r="F24">
            <v>5.7854205841351822</v>
          </cell>
          <cell r="G24">
            <v>6.877115805835226</v>
          </cell>
          <cell r="H24">
            <v>9.1793456469203463</v>
          </cell>
        </row>
        <row r="33">
          <cell r="F33">
            <v>19.598005353779421</v>
          </cell>
          <cell r="G33">
            <v>19.978089273743112</v>
          </cell>
          <cell r="H33">
            <v>20.725369583439949</v>
          </cell>
        </row>
        <row r="34">
          <cell r="F34">
            <v>5.5970613657185835</v>
          </cell>
          <cell r="G34">
            <v>2.8614993819312122</v>
          </cell>
          <cell r="H34">
            <v>8.661942716570965E-6</v>
          </cell>
        </row>
        <row r="35">
          <cell r="F35">
            <v>9.3404201900299001E-3</v>
          </cell>
          <cell r="G35">
            <v>6.2791135077136105E-4</v>
          </cell>
          <cell r="H35">
            <v>0</v>
          </cell>
        </row>
        <row r="36">
          <cell r="F36">
            <v>0.21306968706865759</v>
          </cell>
          <cell r="G36">
            <v>0.23593281067981831</v>
          </cell>
          <cell r="H36">
            <v>0.2359213363919862</v>
          </cell>
        </row>
        <row r="37">
          <cell r="F37">
            <v>8.249972584382304</v>
          </cell>
          <cell r="G37">
            <v>2.8992444326385161</v>
          </cell>
          <cell r="H37">
            <v>0.40974548921470605</v>
          </cell>
        </row>
        <row r="38">
          <cell r="F38">
            <v>1.9563405311374624</v>
          </cell>
          <cell r="G38">
            <v>2.034158946579895</v>
          </cell>
          <cell r="H38">
            <v>0.66980603361767255</v>
          </cell>
        </row>
        <row r="39">
          <cell r="F39">
            <v>3.2330110126823568</v>
          </cell>
          <cell r="G39">
            <v>3.2330152617170298</v>
          </cell>
          <cell r="H39">
            <v>3.9012376624904341</v>
          </cell>
        </row>
        <row r="55">
          <cell r="F55">
            <v>14.419922525463774</v>
          </cell>
          <cell r="G55">
            <v>14.419920731896372</v>
          </cell>
          <cell r="H55">
            <v>14.419920130310864</v>
          </cell>
        </row>
        <row r="56">
          <cell r="F56">
            <v>8.3343983206374741</v>
          </cell>
          <cell r="G56">
            <v>9.8302755892295206</v>
          </cell>
          <cell r="H56">
            <v>12.925242661824159</v>
          </cell>
        </row>
        <row r="57">
          <cell r="F57">
            <v>4.5719647178084628</v>
          </cell>
          <cell r="G57">
            <v>2.4470942958389053</v>
          </cell>
          <cell r="H57">
            <v>0.18787776594917818</v>
          </cell>
        </row>
        <row r="58">
          <cell r="F58">
            <v>6.5201970689027465E-3</v>
          </cell>
          <cell r="G58">
            <v>4.4291296905034941E-4</v>
          </cell>
          <cell r="H58">
            <v>0</v>
          </cell>
        </row>
        <row r="59">
          <cell r="F59">
            <v>8.4982138359497394</v>
          </cell>
          <cell r="G59">
            <v>4.1283727423925694</v>
          </cell>
          <cell r="H59">
            <v>0.9066923480963911</v>
          </cell>
        </row>
        <row r="60">
          <cell r="F60">
            <v>7.2433461774753533E-3</v>
          </cell>
          <cell r="G60">
            <v>3.8753597148152579E-3</v>
          </cell>
          <cell r="H60">
            <v>2.4523370409824242E-3</v>
          </cell>
        </row>
        <row r="61">
          <cell r="F61">
            <v>4.1286847645579678E-3</v>
          </cell>
          <cell r="G61">
            <v>4.2982506866428845E-4</v>
          </cell>
          <cell r="H61">
            <v>2.8651161109113783E-6</v>
          </cell>
        </row>
        <row r="62">
          <cell r="F62">
            <v>7.2428043452775217</v>
          </cell>
          <cell r="G62">
            <v>6.8163623200113763</v>
          </cell>
          <cell r="H62">
            <v>8.7705302113078112</v>
          </cell>
        </row>
        <row r="63">
          <cell r="F63">
            <v>7.1660515196631502</v>
          </cell>
          <cell r="G63">
            <v>7.2037011804686566</v>
          </cell>
          <cell r="H63">
            <v>8.1022168115436948</v>
          </cell>
        </row>
        <row r="64">
          <cell r="F64">
            <v>7.7145593204736391</v>
          </cell>
          <cell r="G64">
            <v>5.9480085910564355</v>
          </cell>
          <cell r="H64">
            <v>7.3309182070111492</v>
          </cell>
        </row>
        <row r="65">
          <cell r="F65">
            <v>0.54625358172818406</v>
          </cell>
          <cell r="G65">
            <v>0.54625876101163784</v>
          </cell>
          <cell r="H65">
            <v>0.54627672357735635</v>
          </cell>
        </row>
        <row r="66">
          <cell r="F66">
            <v>5.6766570990356024</v>
          </cell>
          <cell r="G66">
            <v>4.3954897199244876</v>
          </cell>
          <cell r="H66">
            <v>3.2361057646844111</v>
          </cell>
        </row>
        <row r="67">
          <cell r="F67">
            <v>1.1055182339051275</v>
          </cell>
          <cell r="G67">
            <v>1.0625543929346366</v>
          </cell>
          <cell r="H67">
            <v>0.72022861456633624</v>
          </cell>
        </row>
        <row r="68">
          <cell r="F68">
            <v>2.2986708300171559</v>
          </cell>
          <cell r="G68">
            <v>2.2986738510808067</v>
          </cell>
          <cell r="H68">
            <v>2.808891116993113</v>
          </cell>
        </row>
        <row r="69">
          <cell r="F69">
            <v>7.877587390811402</v>
          </cell>
          <cell r="G69">
            <v>8.4473416111331332</v>
          </cell>
          <cell r="H69">
            <v>8.447334903375415</v>
          </cell>
        </row>
        <row r="70">
          <cell r="F70">
            <v>1.8281924225541961</v>
          </cell>
          <cell r="G70">
            <v>10.556168384238164</v>
          </cell>
          <cell r="H70">
            <v>10.607472071850882</v>
          </cell>
        </row>
        <row r="71">
          <cell r="F71">
            <v>77.298686371336373</v>
          </cell>
          <cell r="G71">
            <v>78.104970268969225</v>
          </cell>
          <cell r="H71">
            <v>79.01216253324786</v>
          </cell>
        </row>
      </sheetData>
      <sheetData sheetId="69">
        <row r="3">
          <cell r="F3">
            <v>54.170338480828207</v>
          </cell>
          <cell r="G3">
            <v>52.777825075039729</v>
          </cell>
          <cell r="H3">
            <v>48.928798239235391</v>
          </cell>
        </row>
        <row r="6">
          <cell r="F6">
            <v>6.9961932586655911</v>
          </cell>
          <cell r="G6">
            <v>9.217509888351378</v>
          </cell>
          <cell r="H6">
            <v>13.96390387102336</v>
          </cell>
        </row>
        <row r="11">
          <cell r="F11">
            <v>58.138353247621389</v>
          </cell>
          <cell r="G11">
            <v>57.637673932673337</v>
          </cell>
          <cell r="H11">
            <v>54.095977596450837</v>
          </cell>
        </row>
        <row r="12">
          <cell r="F12">
            <v>11.774365169027046</v>
          </cell>
          <cell r="G12">
            <v>6.7698279429055273</v>
          </cell>
          <cell r="H12">
            <v>9.1391402179647824E-6</v>
          </cell>
        </row>
        <row r="13">
          <cell r="F13">
            <v>1.5209461877658008E-3</v>
          </cell>
          <cell r="G13">
            <v>1.0695470764303845E-3</v>
          </cell>
          <cell r="H13">
            <v>1.2715764637864615</v>
          </cell>
        </row>
        <row r="14">
          <cell r="F14">
            <v>14.763502255095393</v>
          </cell>
          <cell r="G14">
            <v>9.1306614612100425</v>
          </cell>
          <cell r="H14">
            <v>4.5157558926369994</v>
          </cell>
        </row>
        <row r="15">
          <cell r="F15">
            <v>0.66261047629099035</v>
          </cell>
          <cell r="G15">
            <v>1.9899227197254068</v>
          </cell>
          <cell r="H15">
            <v>2.6517209299423778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8.3448122646052489</v>
          </cell>
          <cell r="G17">
            <v>9.2806551069160488</v>
          </cell>
          <cell r="H17">
            <v>9.0519105223856542</v>
          </cell>
        </row>
        <row r="19">
          <cell r="F19">
            <v>0.66834242717664782</v>
          </cell>
          <cell r="G19">
            <v>0.75268120180499631</v>
          </cell>
          <cell r="H19">
            <v>0.80337379967798284</v>
          </cell>
        </row>
        <row r="20">
          <cell r="F20">
            <v>4.4218772842051241E-3</v>
          </cell>
          <cell r="G20">
            <v>4.8338570561837898E-3</v>
          </cell>
          <cell r="H20">
            <v>5.3679231533594633E-3</v>
          </cell>
        </row>
        <row r="21">
          <cell r="F21">
            <v>12.476889011849083</v>
          </cell>
          <cell r="G21">
            <v>17.016905158159602</v>
          </cell>
          <cell r="H21">
            <v>20.243893406447679</v>
          </cell>
        </row>
        <row r="28">
          <cell r="F28">
            <v>3.9680147667931807</v>
          </cell>
          <cell r="G28">
            <v>4.8598488576336045</v>
          </cell>
          <cell r="H28">
            <v>5.1671793572154519</v>
          </cell>
        </row>
        <row r="47">
          <cell r="F47">
            <v>11.536065532594449</v>
          </cell>
          <cell r="G47">
            <v>15.731063987904248</v>
          </cell>
          <cell r="H47">
            <v>18.718038566242228</v>
          </cell>
        </row>
        <row r="48">
          <cell r="F48">
            <v>9.6415873763678341</v>
          </cell>
          <cell r="G48">
            <v>5.543718674533042</v>
          </cell>
          <cell r="H48">
            <v>1.0411194178677152</v>
          </cell>
        </row>
        <row r="49">
          <cell r="F49">
            <v>9.7844392380797895</v>
          </cell>
          <cell r="G49">
            <v>5.188670710179438</v>
          </cell>
          <cell r="H49">
            <v>1.9558028228232156</v>
          </cell>
        </row>
        <row r="50">
          <cell r="F50">
            <v>8.5170318987824327</v>
          </cell>
          <cell r="G50">
            <v>10.848049072449507</v>
          </cell>
          <cell r="H50">
            <v>11.304765271081521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6.8817694338727433</v>
          </cell>
          <cell r="G52">
            <v>7.6535369060350167</v>
          </cell>
          <cell r="H52">
            <v>7.4648966538555781</v>
          </cell>
        </row>
        <row r="53">
          <cell r="F53">
            <v>5.7094151002706734</v>
          </cell>
          <cell r="G53">
            <v>4.8081762819502858</v>
          </cell>
          <cell r="H53">
            <v>3.3392636510986593</v>
          </cell>
        </row>
        <row r="54">
          <cell r="F54">
            <v>0.53234852514880171</v>
          </cell>
          <cell r="G54">
            <v>0.69022348466093519</v>
          </cell>
          <cell r="H54">
            <v>0.7260462576857678</v>
          </cell>
        </row>
        <row r="55">
          <cell r="F55">
            <v>0.66834242717664782</v>
          </cell>
          <cell r="G55">
            <v>0.75268120180499631</v>
          </cell>
          <cell r="H55">
            <v>0.80337379967798284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6.9961932586655911</v>
          </cell>
          <cell r="G58">
            <v>9.217509888351378</v>
          </cell>
          <cell r="H58">
            <v>13.96390387102336</v>
          </cell>
        </row>
        <row r="59">
          <cell r="F59">
            <v>60.534985734708215</v>
          </cell>
          <cell r="G59">
            <v>60.655754673729341</v>
          </cell>
          <cell r="H59">
            <v>59.478961789334818</v>
          </cell>
        </row>
      </sheetData>
      <sheetData sheetId="70">
        <row r="3">
          <cell r="F3">
            <v>46.772079852378852</v>
          </cell>
          <cell r="G3">
            <v>45.1958015393555</v>
          </cell>
          <cell r="H3">
            <v>41.460618887809012</v>
          </cell>
        </row>
        <row r="10">
          <cell r="F10">
            <v>15.552040781609309</v>
          </cell>
          <cell r="G10">
            <v>20.259147382236254</v>
          </cell>
          <cell r="H10">
            <v>30.436688917477721</v>
          </cell>
        </row>
        <row r="15">
          <cell r="F15">
            <v>68.828640951687248</v>
          </cell>
          <cell r="G15">
            <v>68.892590131483871</v>
          </cell>
          <cell r="H15">
            <v>63.898649906900992</v>
          </cell>
        </row>
        <row r="16">
          <cell r="F16">
            <v>16.100393493633504</v>
          </cell>
          <cell r="G16">
            <v>6.7959398776098192</v>
          </cell>
          <cell r="H16">
            <v>1.0805248374505385E-5</v>
          </cell>
        </row>
        <row r="17">
          <cell r="F17">
            <v>1.5230639420714695E-3</v>
          </cell>
          <cell r="G17">
            <v>1.0722624354135249E-3</v>
          </cell>
          <cell r="H17">
            <v>1.0427122678863918</v>
          </cell>
        </row>
        <row r="18">
          <cell r="F18">
            <v>29.635408945220831</v>
          </cell>
          <cell r="G18">
            <v>18.064560915160314</v>
          </cell>
          <cell r="H18">
            <v>11.058184400574648</v>
          </cell>
        </row>
        <row r="19">
          <cell r="F19">
            <v>0.92379988032815563</v>
          </cell>
          <cell r="G19">
            <v>4.0412809315719356</v>
          </cell>
          <cell r="H19">
            <v>4.1339060179626497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11.960066228978793</v>
          </cell>
          <cell r="G21">
            <v>13.06863767354973</v>
          </cell>
          <cell r="H21">
            <v>13.006246794662117</v>
          </cell>
        </row>
        <row r="22">
          <cell r="F22">
            <v>13.651693634238214</v>
          </cell>
          <cell r="G22">
            <v>11.659439256562104</v>
          </cell>
          <cell r="H22">
            <v>7.1839883264224262</v>
          </cell>
        </row>
        <row r="23">
          <cell r="F23">
            <v>1.1738746398479758</v>
          </cell>
          <cell r="G23">
            <v>1.2815577584272217</v>
          </cell>
          <cell r="H23">
            <v>1.2990680745778094</v>
          </cell>
        </row>
        <row r="24">
          <cell r="F24">
            <v>8.758626044410113E-3</v>
          </cell>
          <cell r="G24">
            <v>1.3944318213779937E-2</v>
          </cell>
          <cell r="H24">
            <v>1.8171299640670636E-2</v>
          </cell>
        </row>
        <row r="25">
          <cell r="F25">
            <v>50.508888634062039</v>
          </cell>
          <cell r="G25">
            <v>61.146088075216397</v>
          </cell>
          <cell r="H25">
            <v>66.788966160440495</v>
          </cell>
        </row>
        <row r="26">
          <cell r="F26">
            <v>192.79304809798322</v>
          </cell>
          <cell r="G26">
            <v>184.96511120023058</v>
          </cell>
          <cell r="H26">
            <v>168.42990405431655</v>
          </cell>
        </row>
        <row r="102">
          <cell r="F102">
            <v>3.0278139229351589E-2</v>
          </cell>
          <cell r="G102">
            <v>1.9605530772892246E-2</v>
          </cell>
          <cell r="H102">
            <v>1.7262567054939872E-2</v>
          </cell>
        </row>
        <row r="104">
          <cell r="F104">
            <v>47.925564874620598</v>
          </cell>
          <cell r="G104">
            <v>54.963044000726804</v>
          </cell>
          <cell r="H104">
            <v>56.079046531232898</v>
          </cell>
        </row>
        <row r="105">
          <cell r="F105">
            <v>11.61426657460192</v>
          </cell>
          <cell r="G105">
            <v>4.5940890769423754</v>
          </cell>
          <cell r="H105">
            <v>0.70648683808787638</v>
          </cell>
        </row>
        <row r="106">
          <cell r="F106">
            <v>14.713470399618449</v>
          </cell>
          <cell r="G106">
            <v>6.4462720745126578</v>
          </cell>
          <cell r="H106">
            <v>2.4988261381722126</v>
          </cell>
        </row>
        <row r="107">
          <cell r="F107">
            <v>16.971841313115668</v>
          </cell>
          <cell r="G107">
            <v>20.487497264228722</v>
          </cell>
          <cell r="H107">
            <v>19.417127131646009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7.9946735739007284</v>
          </cell>
          <cell r="G110">
            <v>8.5594779533209877</v>
          </cell>
          <cell r="H110">
            <v>8.1977907280364395</v>
          </cell>
        </row>
        <row r="111">
          <cell r="F111">
            <v>7.6221196006725629</v>
          </cell>
          <cell r="G111">
            <v>6.2850906010294292</v>
          </cell>
          <cell r="H111">
            <v>3.6699031778592022</v>
          </cell>
        </row>
        <row r="112">
          <cell r="F112">
            <v>0.41522237915034216</v>
          </cell>
          <cell r="G112">
            <v>0.44225757356540252</v>
          </cell>
          <cell r="H112">
            <v>0.37426896296071471</v>
          </cell>
        </row>
        <row r="113">
          <cell r="F113">
            <v>3.4869385434931358E-2</v>
          </cell>
          <cell r="G113">
            <v>3.4123717025892106E-2</v>
          </cell>
          <cell r="H113">
            <v>3.0858978760403763E-2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122.87434702195384</v>
          </cell>
          <cell r="G116">
            <v>122.09060517436141</v>
          </cell>
          <cell r="H116">
            <v>121.42825997128841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24.251824050125911</v>
          </cell>
          <cell r="G224">
            <v>27.032623189166934</v>
          </cell>
          <cell r="H224">
            <v>28.939730088257953</v>
          </cell>
        </row>
        <row r="231">
          <cell r="F231">
            <v>1.8912555225493561</v>
          </cell>
          <cell r="G231">
            <v>1.7231479027764653</v>
          </cell>
          <cell r="H231">
            <v>1.5002631505928274</v>
          </cell>
        </row>
        <row r="233">
          <cell r="F233">
            <v>57.762463239937993</v>
          </cell>
          <cell r="G233">
            <v>67.583769329587824</v>
          </cell>
          <cell r="H233">
            <v>71.625193592253822</v>
          </cell>
        </row>
        <row r="234">
          <cell r="F234">
            <v>13.136983285629565</v>
          </cell>
          <cell r="G234">
            <v>5.4510226016142971</v>
          </cell>
          <cell r="H234">
            <v>0.84240928369593082</v>
          </cell>
        </row>
        <row r="235">
          <cell r="F235">
            <v>17.124995842782553</v>
          </cell>
          <cell r="G235">
            <v>7.9109370752633268</v>
          </cell>
          <cell r="H235">
            <v>3.1675370323921879</v>
          </cell>
        </row>
        <row r="236">
          <cell r="F236">
            <v>21.53811305366801</v>
          </cell>
          <cell r="G236">
            <v>26.462417163080385</v>
          </cell>
          <cell r="H236">
            <v>26.091873462985571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9.7053571202177391</v>
          </cell>
          <cell r="G239">
            <v>10.567882165977899</v>
          </cell>
          <cell r="H239">
            <v>10.459019381231073</v>
          </cell>
        </row>
        <row r="240">
          <cell r="F240">
            <v>8.7093559092523503</v>
          </cell>
          <cell r="G240">
            <v>7.3070492712374868</v>
          </cell>
          <cell r="H240">
            <v>4.4340669945834428</v>
          </cell>
        </row>
        <row r="241">
          <cell r="F241">
            <v>0.53173167658492237</v>
          </cell>
          <cell r="G241">
            <v>0.57629771332718738</v>
          </cell>
          <cell r="H241">
            <v>0.51187016975598221</v>
          </cell>
        </row>
        <row r="242">
          <cell r="F242">
            <v>1.1738746398479758</v>
          </cell>
          <cell r="G242">
            <v>1.2815577584272217</v>
          </cell>
          <cell r="H242">
            <v>1.2990680745778094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15.552040781609309</v>
          </cell>
          <cell r="G244">
            <v>20.259147382236254</v>
          </cell>
          <cell r="H244">
            <v>30.436688917477721</v>
          </cell>
        </row>
        <row r="245">
          <cell r="F245">
            <v>147.12617107207979</v>
          </cell>
          <cell r="G245">
            <v>149.12322836352834</v>
          </cell>
          <cell r="H245">
            <v>150.36799005954637</v>
          </cell>
        </row>
      </sheetData>
      <sheetData sheetId="71">
        <row r="21">
          <cell r="F21">
            <v>16.53629134647073</v>
          </cell>
          <cell r="G21">
            <v>3.5884314397687027</v>
          </cell>
          <cell r="H21">
            <v>0.76891239380029541</v>
          </cell>
        </row>
        <row r="22">
          <cell r="F22">
            <v>32.857379806798463</v>
          </cell>
          <cell r="G22">
            <v>16.282797498257519</v>
          </cell>
          <cell r="H22">
            <v>1.3315627949273894</v>
          </cell>
        </row>
        <row r="23">
          <cell r="F23">
            <v>2.5460996196218706</v>
          </cell>
          <cell r="G23">
            <v>2.1173234435037309</v>
          </cell>
          <cell r="H23">
            <v>-4.670422310004696E-6</v>
          </cell>
        </row>
        <row r="24">
          <cell r="F24">
            <v>6.5330855105526497E-2</v>
          </cell>
          <cell r="G24">
            <v>2.9989862394941027E-2</v>
          </cell>
          <cell r="H24">
            <v>1.7123669234261447E-3</v>
          </cell>
        </row>
        <row r="25">
          <cell r="F25">
            <v>1.3076055980187968</v>
          </cell>
          <cell r="G25">
            <v>2.6228242822491397</v>
          </cell>
          <cell r="H25">
            <v>0.10714559018892131</v>
          </cell>
        </row>
        <row r="26">
          <cell r="F26">
            <v>2.9738009332588047</v>
          </cell>
          <cell r="G26">
            <v>2.9741548861994982</v>
          </cell>
          <cell r="H26">
            <v>1.4852167907461618</v>
          </cell>
        </row>
        <row r="27">
          <cell r="F27">
            <v>1.762796144362554E-2</v>
          </cell>
          <cell r="G27">
            <v>1.2576451956635235E-2</v>
          </cell>
          <cell r="H27">
            <v>1.6970378171302677E-3</v>
          </cell>
        </row>
        <row r="28">
          <cell r="F28">
            <v>4.39198126745932E-3</v>
          </cell>
          <cell r="G28">
            <v>3.3099507974889701E-3</v>
          </cell>
          <cell r="H28">
            <v>1.6907798581354101</v>
          </cell>
        </row>
        <row r="32">
          <cell r="F32">
            <v>0.17959703327447527</v>
          </cell>
          <cell r="G32">
            <v>1.5136318493233853</v>
          </cell>
          <cell r="H32">
            <v>1.6271337627161935</v>
          </cell>
        </row>
      </sheetData>
      <sheetData sheetId="72">
        <row r="11">
          <cell r="F11">
            <v>66.62858847960517</v>
          </cell>
          <cell r="G11">
            <v>52.075766034020141</v>
          </cell>
          <cell r="H11">
            <v>0</v>
          </cell>
        </row>
        <row r="12">
          <cell r="F12">
            <v>16.65714723506375</v>
          </cell>
          <cell r="G12">
            <v>26.826898170276756</v>
          </cell>
          <cell r="H12">
            <v>74.828776408961204</v>
          </cell>
        </row>
        <row r="13">
          <cell r="F13">
            <v>1.69206670612604E-4</v>
          </cell>
          <cell r="G13">
            <v>4.468956506470402E-2</v>
          </cell>
          <cell r="H13">
            <v>4.4529929889973049E-2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2.2431230745208852</v>
          </cell>
          <cell r="G53">
            <v>2.4620177963983165</v>
          </cell>
          <cell r="H53">
            <v>2.5529370205919255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4.1179860760233042</v>
          </cell>
          <cell r="G55">
            <v>3.5567132140897018</v>
          </cell>
          <cell r="H55">
            <v>3.2335580077921007</v>
          </cell>
        </row>
        <row r="56">
          <cell r="F56">
            <v>1.7196190179948361</v>
          </cell>
          <cell r="G56">
            <v>1.0244779210155399</v>
          </cell>
          <cell r="H56">
            <v>0.2557022555917331</v>
          </cell>
        </row>
        <row r="57">
          <cell r="F57">
            <v>2.8909519730234501</v>
          </cell>
          <cell r="G57">
            <v>1.533430938146692</v>
          </cell>
          <cell r="H57">
            <v>0.62642964442116844</v>
          </cell>
        </row>
        <row r="58">
          <cell r="F58">
            <v>3.8747834213797039</v>
          </cell>
          <cell r="G58">
            <v>1.6382664123963111</v>
          </cell>
          <cell r="H58">
            <v>0.15675303646859637</v>
          </cell>
        </row>
        <row r="59">
          <cell r="F59">
            <v>0</v>
          </cell>
          <cell r="G59">
            <v>-1.4155840941692979</v>
          </cell>
          <cell r="H59">
            <v>-5.1319882307055407</v>
          </cell>
        </row>
        <row r="60">
          <cell r="F60">
            <v>0</v>
          </cell>
          <cell r="G60">
            <v>-0.32422454417239549</v>
          </cell>
          <cell r="H60">
            <v>-1.6933338365354906</v>
          </cell>
        </row>
        <row r="61">
          <cell r="F61">
            <v>0</v>
          </cell>
          <cell r="G61">
            <v>0</v>
          </cell>
          <cell r="H61">
            <v>-2.7397590750040806E-5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-9.5423486713572634E-6</v>
          </cell>
          <cell r="H63">
            <v>-2.8994090499837347E-5</v>
          </cell>
        </row>
        <row r="77">
          <cell r="B77">
            <v>0</v>
          </cell>
          <cell r="C77">
            <v>3.4619530532116412</v>
          </cell>
        </row>
        <row r="78">
          <cell r="B78">
            <v>0</v>
          </cell>
          <cell r="C78">
            <v>1.1218547444603242</v>
          </cell>
        </row>
        <row r="79">
          <cell r="B79">
            <v>0</v>
          </cell>
          <cell r="C79">
            <v>2.2415249536863597</v>
          </cell>
        </row>
      </sheetData>
      <sheetData sheetId="75">
        <row r="99">
          <cell r="J99">
            <v>13.343448018015856</v>
          </cell>
          <cell r="K99">
            <v>7.5189762956612345</v>
          </cell>
          <cell r="L99">
            <v>2.0427323725183082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301.55156848449508</v>
      </c>
      <c r="G2" s="3">
        <f t="shared" ref="G2:K2" si="0">G3+G8+G11+G12+G16+G17+G18+G19</f>
        <v>298.76897526775628</v>
      </c>
      <c r="H2" s="3">
        <f t="shared" si="0"/>
        <v>338.20472514871244</v>
      </c>
      <c r="I2" s="3">
        <f t="shared" si="0"/>
        <v>444.85985993495387</v>
      </c>
      <c r="J2" s="3">
        <f t="shared" si="0"/>
        <v>425.43101752967345</v>
      </c>
      <c r="K2" s="3">
        <f t="shared" si="0"/>
        <v>531.32847250600889</v>
      </c>
      <c r="L2" s="3">
        <f t="shared" ref="L2" si="1">L3+L8+L11+L12+L16+L17+L18+L19</f>
        <v>593.27218478618283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46.334115216000257</v>
      </c>
      <c r="G3" s="1">
        <f t="shared" ref="G3:K3" si="4">SUM(G4:G7)</f>
        <v>50.490587884073356</v>
      </c>
      <c r="H3" s="1">
        <f t="shared" si="4"/>
        <v>53.544916746486351</v>
      </c>
      <c r="I3" s="1">
        <f t="shared" si="4"/>
        <v>53.546451685739477</v>
      </c>
      <c r="J3" s="1">
        <f t="shared" si="4"/>
        <v>53.516689355018073</v>
      </c>
      <c r="K3" s="1">
        <f t="shared" si="4"/>
        <v>53.839142686480777</v>
      </c>
      <c r="L3" s="1">
        <f t="shared" ref="L3" si="5">SUM(L4:L7)</f>
        <v>53.840064822309309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11.111976141568594</v>
      </c>
      <c r="G4" s="1" cm="1">
        <f t="array" ref="G4">SUMPRODUCT(("RNWWOD1"=[1]OUT_PrimaryEnergyCons!$A$1:$A$1000)*1,[1]OUT_PrimaryEnergyCons!E$1:E$1000)</f>
        <v>11.952923578006255</v>
      </c>
      <c r="H4" s="1" cm="1">
        <f t="array" ref="H4">SUMPRODUCT(("RNWWOD1"=[1]OUT_PrimaryEnergyCons!$A$1:$A$1000)*1,[1]OUT_PrimaryEnergyCons!F$1:F$1000)</f>
        <v>13.357213022457403</v>
      </c>
      <c r="I4" s="1" cm="1">
        <f t="array" ref="I4">SUMPRODUCT(("RNWWOD1"=[1]OUT_PrimaryEnergyCons!$A$1:$A$1000)*1,[1]OUT_PrimaryEnergyCons!G$1:G$1000)</f>
        <v>15.656186912610261</v>
      </c>
      <c r="J4" s="1" cm="1">
        <f t="array" ref="J4">SUMPRODUCT(("RNWWOD1"=[2]OUT_PrimaryEnergyCons!$A$1:$A$1000)*1,[2]OUT_PrimaryEnergyCons!H$1:H$1000)</f>
        <v>16.424569312147934</v>
      </c>
      <c r="K4" s="1" cm="1">
        <f t="array" ref="K4">SUMPRODUCT(("RNWWOD1"=[2]OUT_PrimaryEnergyCons!$A$1:$A$1000)*1,[2]OUT_PrimaryEnergyCons!I$1:I$1000)</f>
        <v>17.11364306333876</v>
      </c>
      <c r="L4" s="1" cm="1">
        <f t="array" ref="L4">SUMPRODUCT(("RNWWOD1"=[2]OUT_PrimaryEnergyCons!$A$1:$A$1000)*1,[2]OUT_PrimaryEnergyCons!J$1:J$1000)</f>
        <v>18.429672491123057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7.5117708343997647</v>
      </c>
      <c r="G5" s="1" cm="1">
        <f t="array" ref="G5">SUMPRODUCT(("RNWWOD2"=[1]OUT_PrimaryEnergyCons!$A$1:$A$1000)*1,[1]OUT_PrimaryEnergyCons!E$1:E$1000)</f>
        <v>7.5431833211157198</v>
      </c>
      <c r="H5" s="1" cm="1">
        <f t="array" ref="H5">SUMPRODUCT(("RNWWOD2"=[1]OUT_PrimaryEnergyCons!$A$1:$A$1000)*1,[1]OUT_PrimaryEnergyCons!F$1:F$1000)</f>
        <v>7.5903684650464012</v>
      </c>
      <c r="I5" s="1" cm="1">
        <f t="array" ref="I5">SUMPRODUCT(("RNWWOD2"=[1]OUT_PrimaryEnergyCons!$A$1:$A$1000)*1,[1]OUT_PrimaryEnergyCons!G$1:G$1000)</f>
        <v>7.6690331077722877</v>
      </c>
      <c r="J5" s="1" cm="1">
        <f t="array" ref="J5">SUMPRODUCT(("RNWWOD2"=[2]OUT_PrimaryEnergyCons!$A$1:$A$1000)*1,[2]OUT_PrimaryEnergyCons!H$1:H$1000)</f>
        <v>7.6690263743061333</v>
      </c>
      <c r="K5" s="1" cm="1">
        <f t="array" ref="K5">SUMPRODUCT(("RNWWOD2"=[2]OUT_PrimaryEnergyCons!$A$1:$A$1000)*1,[2]OUT_PrimaryEnergyCons!I$1:I$1000)</f>
        <v>7.6690274747497238</v>
      </c>
      <c r="L5" s="1" cm="1">
        <f t="array" ref="L5">SUMPRODUCT(("RNWWOD2"=[2]OUT_PrimaryEnergyCons!$A$1:$A$1000)*1,[2]OUT_PrimaryEnergyCons!J$1:J$1000)</f>
        <v>7.6690281199681918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3.1683463948340496</v>
      </c>
      <c r="G6" s="1" cm="1">
        <f t="array" ref="G6">SUMPRODUCT(("RNWWOD3"=[1]OUT_PrimaryEnergyCons!$A$1:$A$1000)*1,[1]OUT_PrimaryEnergyCons!E$1:E$1000)</f>
        <v>3.4957144759587795</v>
      </c>
      <c r="H6" s="1" cm="1">
        <f t="array" ref="H6">SUMPRODUCT(("RNWWOD3"=[1]OUT_PrimaryEnergyCons!$A$1:$A$1000)*1,[1]OUT_PrimaryEnergyCons!F$1:F$1000)</f>
        <v>3.9868298124432071</v>
      </c>
      <c r="I6" s="1" cm="1">
        <f t="array" ref="I6">SUMPRODUCT(("RNWWOD3"=[1]OUT_PrimaryEnergyCons!$A$1:$A$1000)*1,[1]OUT_PrimaryEnergyCons!G$1:G$1000)</f>
        <v>4.805389453080994</v>
      </c>
      <c r="J6" s="1" cm="1">
        <f t="array" ref="J6">SUMPRODUCT(("RNWWOD3"=[2]OUT_PrimaryEnergyCons!$A$1:$A$1000)*1,[2]OUT_PrimaryEnergyCons!H$1:H$1000)</f>
        <v>4.8053850877620814</v>
      </c>
      <c r="K6" s="1" cm="1">
        <f t="array" ref="K6">SUMPRODUCT(("RNWWOD3"=[2]OUT_PrimaryEnergyCons!$A$1:$A$1000)*1,[2]OUT_PrimaryEnergyCons!I$1:I$1000)</f>
        <v>4.8053864532754424</v>
      </c>
      <c r="L6" s="1" cm="1">
        <f t="array" ref="L6">SUMPRODUCT(("RNWWOD3"=[2]OUT_PrimaryEnergyCons!$A$1:$A$1000)*1,[2]OUT_PrimaryEnergyCons!J$1:J$1000)</f>
        <v>4.8053852262652237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24.542021845197844</v>
      </c>
      <c r="G7" s="1" cm="1">
        <f t="array" ref="G7">SUMPRODUCT(("RNWWOD4"=[1]OUT_PrimaryEnergyCons!$A$1:$A$1000)*1+("RNWWOD5"=[1]OUT_PrimaryEnergyCons!$A$1:$A$1000)*1,[1]OUT_PrimaryEnergyCons!E$1:E$1000)</f>
        <v>27.498766508992603</v>
      </c>
      <c r="H7" s="1" cm="1">
        <f t="array" ref="H7">SUMPRODUCT(("RNWWOD4"=[1]OUT_PrimaryEnergyCons!$A$1:$A$1000)*1+("RNWWOD5"=[1]OUT_PrimaryEnergyCons!$A$1:$A$1000)*1,[1]OUT_PrimaryEnergyCons!F$1:F$1000)</f>
        <v>28.610505446539335</v>
      </c>
      <c r="I7" s="1" cm="1">
        <f t="array" ref="I7">SUMPRODUCT(("RNWWOD4"=[1]OUT_PrimaryEnergyCons!$A$1:$A$1000)*1+("RNWWOD5"=[1]OUT_PrimaryEnergyCons!$A$1:$A$1000)*1,[1]OUT_PrimaryEnergyCons!G$1:G$1000)</f>
        <v>25.415842212275933</v>
      </c>
      <c r="J7" s="1" cm="1">
        <f t="array" ref="J7">SUMPRODUCT(("RNWWOD4"=[2]OUT_PrimaryEnergyCons!$A$1:$A$1000)*1+("RNWWOD5"=[2]OUT_PrimaryEnergyCons!$A$1:$A$1000)*1,[2]OUT_PrimaryEnergyCons!H$1:H$1000)</f>
        <v>24.617708580801924</v>
      </c>
      <c r="K7" s="1" cm="1">
        <f t="array" ref="K7">SUMPRODUCT(("RNWWOD4"=[2]OUT_PrimaryEnergyCons!$A$1:$A$1000)*1+("RNWWOD5"=[2]OUT_PrimaryEnergyCons!$A$1:$A$1000)*1,[2]OUT_PrimaryEnergyCons!I$1:I$1000)</f>
        <v>24.251085695116853</v>
      </c>
      <c r="L7" s="1" cm="1">
        <f t="array" ref="L7">SUMPRODUCT(("RNWWOD4"=[2]OUT_PrimaryEnergyCons!$A$1:$A$1000)*1+("RNWWOD5"=[2]OUT_PrimaryEnergyCons!$A$1:$A$1000)*1,[2]OUT_PrimaryEnergyCons!J$1:J$1000)</f>
        <v>22.935978984952836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70.032086744262159</v>
      </c>
      <c r="G8" s="1">
        <f t="shared" ref="G8:K8" si="9">SUM(G9:G10)</f>
        <v>71.224290096672604</v>
      </c>
      <c r="H8" s="1">
        <f t="shared" si="9"/>
        <v>71.066649647055769</v>
      </c>
      <c r="I8" s="1">
        <f t="shared" si="9"/>
        <v>74.271072997039468</v>
      </c>
      <c r="J8" s="1">
        <f t="shared" si="9"/>
        <v>72.271096246946954</v>
      </c>
      <c r="K8" s="1">
        <f t="shared" si="9"/>
        <v>79.195697019164044</v>
      </c>
      <c r="L8" s="1">
        <f t="shared" ref="L8" si="10">SUM(L9:L10)</f>
        <v>83.827841984457024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35.931415647284581</v>
      </c>
      <c r="G9" s="1" cm="1">
        <f t="array" ref="G9">SUMPRODUCT(("RNNWWST1"=[1]OUT_PrimaryEnergyCons!$A$1:$A$1000)*1,[1]OUT_PrimaryEnergyCons!E$1:E$1000)</f>
        <v>36.121600754240653</v>
      </c>
      <c r="H9" s="1" cm="1">
        <f t="array" ref="H9">SUMPRODUCT(("RNNWWST1"=[1]OUT_PrimaryEnergyCons!$A$1:$A$1000)*1,[1]OUT_PrimaryEnergyCons!F$1:F$1000)</f>
        <v>35.963639011507908</v>
      </c>
      <c r="I9" s="1" cm="1">
        <f t="array" ref="I9">SUMPRODUCT(("RNNWWST1"=[1]OUT_PrimaryEnergyCons!$A$1:$A$1000)*1,[1]OUT_PrimaryEnergyCons!G$1:G$1000)</f>
        <v>37.032765660388442</v>
      </c>
      <c r="J9" s="1" cm="1">
        <f t="array" ref="J9">SUMPRODUCT(("RNNWWST1"=[2]OUT_PrimaryEnergyCons!$A$1:$A$1000)*1,[2]OUT_PrimaryEnergyCons!H$1:H$1000)</f>
        <v>34.937590039075637</v>
      </c>
      <c r="K9" s="1" cm="1">
        <f t="array" ref="K9">SUMPRODUCT(("RNNWWST1"=[2]OUT_PrimaryEnergyCons!$A$1:$A$1000)*1,[2]OUT_PrimaryEnergyCons!I$1:I$1000)</f>
        <v>38.08248898081991</v>
      </c>
      <c r="L9" s="1" cm="1">
        <f t="array" ref="L9">SUMPRODUCT(("RNNWWST1"=[2]OUT_PrimaryEnergyCons!$A$1:$A$1000)*1,[2]OUT_PrimaryEnergyCons!J$1:J$1000)</f>
        <v>39.221495089781584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34.100671096977578</v>
      </c>
      <c r="G10" s="1" cm="1">
        <f t="array" ref="G10">SUMPRODUCT(("RNWWST1"=[1]OUT_PrimaryEnergyCons!$A$1:$A$1000)*1,[1]OUT_PrimaryEnergyCons!E$1:E$1000)</f>
        <v>35.102689342431958</v>
      </c>
      <c r="H10" s="1" cm="1">
        <f t="array" ref="H10">SUMPRODUCT(("RNWWST1"=[1]OUT_PrimaryEnergyCons!$A$1:$A$1000)*1,[1]OUT_PrimaryEnergyCons!F$1:F$1000)</f>
        <v>35.103010635547861</v>
      </c>
      <c r="I10" s="1" cm="1">
        <f t="array" ref="I10">SUMPRODUCT(("RNWWST1"=[1]OUT_PrimaryEnergyCons!$A$1:$A$1000)*1,[1]OUT_PrimaryEnergyCons!G$1:G$1000)</f>
        <v>37.238307336651026</v>
      </c>
      <c r="J10" s="1" cm="1">
        <f t="array" ref="J10">SUMPRODUCT(("RNWWST1"=[2]OUT_PrimaryEnergyCons!$A$1:$A$1000)*1,[2]OUT_PrimaryEnergyCons!H$1:H$1000)</f>
        <v>37.333506207871316</v>
      </c>
      <c r="K10" s="1" cm="1">
        <f t="array" ref="K10">SUMPRODUCT(("RNWWST1"=[2]OUT_PrimaryEnergyCons!$A$1:$A$1000)*1,[2]OUT_PrimaryEnergyCons!I$1:I$1000)</f>
        <v>41.113208038344141</v>
      </c>
      <c r="L10" s="1" cm="1">
        <f t="array" ref="L10">SUMPRODUCT(("RNWWST1"=[2]OUT_PrimaryEnergyCons!$A$1:$A$1000)*1,[2]OUT_PrimaryEnergyCons!J$1:J$1000)</f>
        <v>44.60634689467544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3.7982918878914633</v>
      </c>
      <c r="G11" s="1" cm="1">
        <f t="array" ref="G11">SUMPRODUCT(("mnr"=[1]OUT_PrimaryEnergyCons!$C$1:$C$1000)*1,[1]OUT_PrimaryEnergyCons!E$1:E$1000)</f>
        <v>12.540359083790694</v>
      </c>
      <c r="H11" s="1" cm="1">
        <f t="array" ref="H11">SUMPRODUCT(("mnr"=[1]OUT_PrimaryEnergyCons!$C$1:$C$1000)*1,[1]OUT_PrimaryEnergyCons!F$1:F$1000)</f>
        <v>12.540421416964007</v>
      </c>
      <c r="I11" s="1" cm="1">
        <f t="array" ref="I11">SUMPRODUCT(("mnr"=[1]OUT_PrimaryEnergyCons!$C$1:$C$1000)*1,[1]OUT_PrimaryEnergyCons!G$1:G$1000)</f>
        <v>12.540431121177249</v>
      </c>
      <c r="J11" s="1" cm="1">
        <f t="array" ref="J11">SUMPRODUCT(("mnr"=[2]OUT_PrimaryEnergyCons!$C$1:$C$1000)*1,[2]OUT_PrimaryEnergyCons!H$1:H$1000)</f>
        <v>12.540435319465571</v>
      </c>
      <c r="K11" s="1" cm="1">
        <f t="array" ref="K11">SUMPRODUCT(("mnr"=[2]OUT_PrimaryEnergyCons!$C$1:$C$1000)*1,[2]OUT_PrimaryEnergyCons!I$1:I$1000)</f>
        <v>17.360280900367709</v>
      </c>
      <c r="L11" s="1" cm="1">
        <f t="array" ref="L11">SUMPRODUCT(("mnr"=[2]OUT_PrimaryEnergyCons!$C$1:$C$1000)*1,[2]OUT_PrimaryEnergyCons!J$1:J$1000)</f>
        <v>17.744661964437764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149.43060968985017</v>
      </c>
      <c r="G12" s="1">
        <f t="shared" ref="G12:K12" si="11">SUM(G13:G15)</f>
        <v>125.65124522840297</v>
      </c>
      <c r="H12" s="1">
        <f t="shared" si="11"/>
        <v>137.72924305395776</v>
      </c>
      <c r="I12" s="1">
        <f t="shared" si="11"/>
        <v>191.68914738393363</v>
      </c>
      <c r="J12" s="1">
        <f t="shared" si="11"/>
        <v>152.56444289108566</v>
      </c>
      <c r="K12" s="1">
        <f t="shared" si="11"/>
        <v>155.20995502418145</v>
      </c>
      <c r="L12" s="1">
        <f t="shared" ref="L12" si="12">SUM(L13:L15)</f>
        <v>159.32923318240208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66.745681606063101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49.798777987808691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68.970400584037336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70.970232393460137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72.61624215309584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73.931684780467094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74.836059984174653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66.632430866657671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55.764055694378619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65.677217745587797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64.853740316850036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63.870159829891385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64.382938209233785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67.134977010270831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16.052497217129396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20.088411546215649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3.0816247243326447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55.865174673623464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16.078040908098451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16.895332034480578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17.358196187956597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12.557136404926036</v>
      </c>
      <c r="G16" s="1" cm="1">
        <f t="array" ref="G16">SUMPRODUCT(ISNUMBER(SEARCH("SOL",[1]OUT_PrimaryEnergyCons!$C$1:$C$1000))*1,[1]OUT_PrimaryEnergyCons!E$1:E$1000)</f>
        <v>16.525178250020552</v>
      </c>
      <c r="H16" s="1" cm="1">
        <f t="array" ref="H16">SUMPRODUCT(ISNUMBER(SEARCH("SOL",[1]OUT_PrimaryEnergyCons!$C$1:$C$1000))*1,[1]OUT_PrimaryEnergyCons!F$1:F$1000)</f>
        <v>30.421478522021395</v>
      </c>
      <c r="I16" s="1" cm="1">
        <f t="array" ref="I16">SUMPRODUCT(ISNUMBER(SEARCH("SOL",[1]OUT_PrimaryEnergyCons!$C$1:$C$1000))*1,[1]OUT_PrimaryEnergyCons!G$1:G$1000)</f>
        <v>56.344572823422311</v>
      </c>
      <c r="J16" s="1" cm="1">
        <f t="array" ref="J16">SUMPRODUCT(ISNUMBER(SEARCH("SOL",[2]OUT_PrimaryEnergyCons!$C$1:$C$1000))*1,[2]OUT_PrimaryEnergyCons!H$1:H$1000)</f>
        <v>62.131190716185813</v>
      </c>
      <c r="K16" s="1" cm="1">
        <f t="array" ref="K16">SUMPRODUCT(ISNUMBER(SEARCH("SOL",[2]OUT_PrimaryEnergyCons!$C$1:$C$1000))*1,[2]OUT_PrimaryEnergyCons!I$1:I$1000)</f>
        <v>133.16152818492282</v>
      </c>
      <c r="L16" s="1" cm="1">
        <f t="array" ref="L16">SUMPRODUCT(ISNUMBER(SEARCH("SOL",[2]OUT_PrimaryEnergyCons!$C$1:$C$1000))*1,[2]OUT_PrimaryEnergyCons!J$1:J$1000)</f>
        <v>151.38101177451421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0.52448853879067292</v>
      </c>
      <c r="G17" s="1" cm="1">
        <f t="array" ref="G17">SUMPRODUCT(ISNUMBER(SEARCH("wnd",[1]OUT_PrimaryEnergyCons!$C$1:$C$1000))*1,[1]OUT_PrimaryEnergyCons!E$1:E$1000)</f>
        <v>0.54536871651479635</v>
      </c>
      <c r="H17" s="1" cm="1">
        <f t="array" ref="H17">SUMPRODUCT(ISNUMBER(SEARCH("wnd",[1]OUT_PrimaryEnergyCons!$C$1:$C$1000))*1,[1]OUT_PrimaryEnergyCons!F$1:F$1000)</f>
        <v>0.50324133458982423</v>
      </c>
      <c r="I17" s="1" cm="1">
        <f t="array" ref="I17">SUMPRODUCT(ISNUMBER(SEARCH("wnd",[1]OUT_PrimaryEnergyCons!$C$1:$C$1000))*1,[1]OUT_PrimaryEnergyCons!G$1:G$1000)</f>
        <v>2.0507563360817489</v>
      </c>
      <c r="J17" s="1" cm="1">
        <f t="array" ref="J17">SUMPRODUCT(ISNUMBER(SEARCH("wnd",[2]OUT_PrimaryEnergyCons!$C$1:$C$1000))*1,[2]OUT_PrimaryEnergyCons!H$1:H$1000)</f>
        <v>3.6359647709250433</v>
      </c>
      <c r="K17" s="1" cm="1">
        <f t="array" ref="K17">SUMPRODUCT(ISNUMBER(SEARCH("wnd",[2]OUT_PrimaryEnergyCons!$C$1:$C$1000))*1,[2]OUT_PrimaryEnergyCons!I$1:I$1000)</f>
        <v>7.1993892827458792</v>
      </c>
      <c r="L17" s="1" cm="1">
        <f t="array" ref="L17">SUMPRODUCT(ISNUMBER(SEARCH("wnd",[2]OUT_PrimaryEnergyCons!$C$1:$C$1000))*1,[2]OUT_PrimaryEnergyCons!J$1:J$1000)</f>
        <v>21.925723158889589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18.874840002774317</v>
      </c>
      <c r="G18" s="1">
        <f>[1]Overview!C$9-G19</f>
        <v>21.791946008281279</v>
      </c>
      <c r="H18" s="1">
        <f>[1]Overview!D$9-H19</f>
        <v>32.398774427637392</v>
      </c>
      <c r="I18" s="1">
        <f>[1]Overview!E$9-I19</f>
        <v>54.41742758755997</v>
      </c>
      <c r="J18" s="1">
        <f>[2]Overview!F$9-J19</f>
        <v>68.771198230046309</v>
      </c>
      <c r="K18" s="1">
        <f>[2]Overview!G$9-K19</f>
        <v>85.040109039211217</v>
      </c>
      <c r="L18" s="1">
        <f>[2]Overview!H$9-L19</f>
        <v>96.212205213808517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0.32237036893503263</v>
      </c>
      <c r="L19" s="1">
        <f>+[2]Overview!H$28</f>
        <v>9.0114426853643295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781.77729874866941</v>
      </c>
      <c r="G20" s="3">
        <f t="shared" si="13"/>
        <v>700.48164129084591</v>
      </c>
      <c r="H20" s="3">
        <f t="shared" si="13"/>
        <v>650.19265407962757</v>
      </c>
      <c r="I20" s="3">
        <f t="shared" si="13"/>
        <v>500.05516870101371</v>
      </c>
      <c r="J20" s="3">
        <f t="shared" si="13"/>
        <v>387.7114853316973</v>
      </c>
      <c r="K20" s="3">
        <f t="shared" si="13"/>
        <v>211.04943731938678</v>
      </c>
      <c r="L20" s="3">
        <f t="shared" ref="L20" si="14">SUM(L21:L22,L41,L50:L51,L56)</f>
        <v>99.704599363089855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3.6601882141811259</v>
      </c>
      <c r="G21" s="1" cm="1">
        <f t="array" ref="G21">SUMPRODUCT(("COA"=[1]OUT_PrimaryEnergyCons!$C$4:$C$10000)*1,[1]OUT_PrimaryEnergyCons!E$4:E$10000)</f>
        <v>3.5647660482432162</v>
      </c>
      <c r="H21" s="1" cm="1">
        <f t="array" ref="H21">SUMPRODUCT(("COA"=[1]OUT_PrimaryEnergyCons!$C$4:$C$10000)*1,[1]OUT_PrimaryEnergyCons!F$4:F$10000)</f>
        <v>0.15596099168927152</v>
      </c>
      <c r="I21" s="1" cm="1">
        <f t="array" ref="I21">SUMPRODUCT(("COA"=[1]OUT_PrimaryEnergyCons!$C$4:$C$10000)*1,[1]OUT_PrimaryEnergyCons!G$4:G$10000)</f>
        <v>4.6208376640515239E-3</v>
      </c>
      <c r="J21" s="1" cm="1">
        <f t="array" ref="J21">SUMPRODUCT(("COA"=[2]OUT_PrimaryEnergyCons!$C$4:$C$10000)*1,[2]OUT_PrimaryEnergyCons!H$4:H$10000)</f>
        <v>6.1393082000861937E-3</v>
      </c>
      <c r="K21" s="1" cm="1">
        <f t="array" ref="K21">SUMPRODUCT(("COA"=[2]OUT_PrimaryEnergyCons!$C$4:$C$10000)*1,[2]OUT_PrimaryEnergyCons!I$4:I$10000)</f>
        <v>6.3677787950264936E-4</v>
      </c>
      <c r="L21" s="1" cm="1">
        <f t="array" ref="L21">SUMPRODUCT(("COA"=[2]OUT_PrimaryEnergyCons!$C$4:$C$10000)*1,[2]OUT_PrimaryEnergyCons!J$4:J$10000)</f>
        <v>5.0459877695822069E-6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311.19204139929144</v>
      </c>
      <c r="G22" s="1">
        <f t="shared" ref="G22:K22" si="15">G23+G29</f>
        <v>286.59565245584537</v>
      </c>
      <c r="H22" s="1">
        <f t="shared" si="15"/>
        <v>260.17311711540322</v>
      </c>
      <c r="I22" s="1">
        <f t="shared" si="15"/>
        <v>158.41676724599998</v>
      </c>
      <c r="J22" s="1">
        <f t="shared" si="15"/>
        <v>108.66556211829422</v>
      </c>
      <c r="K22" s="1">
        <f t="shared" si="15"/>
        <v>70.811767665744753</v>
      </c>
      <c r="L22" s="1">
        <f t="shared" ref="L22" si="16">L23+L29</f>
        <v>80.6950440748722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305.33109084662027</v>
      </c>
      <c r="G23" s="1">
        <f t="shared" ref="G23:K23" si="20">SUM(G24:G28)</f>
        <v>280.7364963933216</v>
      </c>
      <c r="H23" s="1">
        <f t="shared" si="20"/>
        <v>254.31385051000939</v>
      </c>
      <c r="I23" s="1">
        <f t="shared" si="20"/>
        <v>148.06345464879749</v>
      </c>
      <c r="J23" s="1">
        <f t="shared" si="20"/>
        <v>87.417037373958678</v>
      </c>
      <c r="K23" s="1">
        <f t="shared" si="20"/>
        <v>38.122933290569073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102.14686482660032</v>
      </c>
      <c r="G24" s="1" cm="1">
        <f t="array" ref="G24">SUMPRODUCT(("LFO"=[1]OUT_PrimaryEnergyCons!$C$4:$C$10000)*1,[1]OUT_PrimaryEnergyCons!E$4:E$10000)</f>
        <v>88.232629849963274</v>
      </c>
      <c r="H24" s="1" cm="1">
        <f t="array" ref="H24">SUMPRODUCT(("LFO"=[1]OUT_PrimaryEnergyCons!$C$4:$C$10000)*1,[1]OUT_PrimaryEnergyCons!F$4:F$10000)</f>
        <v>86.025824283526873</v>
      </c>
      <c r="I24" s="1" cm="1">
        <f t="array" ref="I24">SUMPRODUCT(("LFO"=[1]OUT_PrimaryEnergyCons!$C$4:$C$10000)*1,[1]OUT_PrimaryEnergyCons!G$4:G$10000)</f>
        <v>47.723315078576853</v>
      </c>
      <c r="J24" s="1" cm="1">
        <f t="array" ref="J24">SUMPRODUCT(("LFO"=[2]OUT_PrimaryEnergyCons!$C$4:$C$10000)*1,[2]OUT_PrimaryEnergyCons!H$4:H$10000)</f>
        <v>34.693068514381139</v>
      </c>
      <c r="K24" s="1" cm="1">
        <f t="array" ref="K24">SUMPRODUCT(("LFO"=[2]OUT_PrimaryEnergyCons!$C$4:$C$10000)*1,[2]OUT_PrimaryEnergyCons!I$4:I$10000)</f>
        <v>16.729773330544852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2.7765248325854821</v>
      </c>
      <c r="G25" s="1" cm="1">
        <f t="array" ref="G25">SUMPRODUCT(("HFO"=[1]OUT_PrimaryEnergyCons!$C$4:$C$10000)*1,[1]OUT_PrimaryEnergyCons!E$4:E$10000)</f>
        <v>2.7643673663297474</v>
      </c>
      <c r="H25" s="1" cm="1">
        <f t="array" ref="H25">SUMPRODUCT(("HFO"=[1]OUT_PrimaryEnergyCons!$C$4:$C$10000)*1,[1]OUT_PrimaryEnergyCons!F$4:F$10000)</f>
        <v>4.8276246552936893E-2</v>
      </c>
      <c r="I25" s="1" cm="1">
        <f t="array" ref="I25">SUMPRODUCT(("HFO"=[1]OUT_PrimaryEnergyCons!$C$4:$C$10000)*1,[1]OUT_PrimaryEnergyCons!G$4:G$10000)</f>
        <v>4.6215869532633732E-3</v>
      </c>
      <c r="J25" s="1" cm="1">
        <f t="array" ref="J25">SUMPRODUCT(("HFO"=[2]OUT_PrimaryEnergyCons!$C$4:$C$10000)*1,[2]OUT_PrimaryEnergyCons!H$4:H$10000)</f>
        <v>9.4990656566637174E-3</v>
      </c>
      <c r="K25" s="1" cm="1">
        <f t="array" ref="K25">SUMPRODUCT(("HFO"=[2]OUT_PrimaryEnergyCons!$C$4:$C$10000)*1,[2]OUT_PrimaryEnergyCons!I$4:I$10000)</f>
        <v>6.3857631950093999E-4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121.89424816293706</v>
      </c>
      <c r="G26" s="1" cm="1">
        <f t="array" ref="G26">SUMPRODUCT(("DSL"=[1]OUT_PrimaryEnergyCons!$C$4:$C$10000)*1,[1]OUT_PrimaryEnergyCons!E$4:E$10000)</f>
        <v>112.68574983712354</v>
      </c>
      <c r="H26" s="1" cm="1">
        <f t="array" ref="H26">SUMPRODUCT(("DSL"=[1]OUT_PrimaryEnergyCons!$C$4:$C$10000)*1,[1]OUT_PrimaryEnergyCons!F$4:F$10000)</f>
        <v>95.48232651826433</v>
      </c>
      <c r="I26" s="1" cm="1">
        <f t="array" ref="I26">SUMPRODUCT(("DSL"=[1]OUT_PrimaryEnergyCons!$C$4:$C$10000)*1,[1]OUT_PrimaryEnergyCons!G$4:G$10000)</f>
        <v>56.806864888603791</v>
      </c>
      <c r="J26" s="1" cm="1">
        <f t="array" ref="J26">SUMPRODUCT(("DSL"=[2]OUT_PrimaryEnergyCons!$C$4:$C$10000)*1,[2]OUT_PrimaryEnergyCons!H$4:H$10000)</f>
        <v>33.347457535208655</v>
      </c>
      <c r="K26" s="1" cm="1">
        <f t="array" ref="K26">SUMPRODUCT(("DSL"=[2]OUT_PrimaryEnergyCons!$C$4:$C$10000)*1,[2]OUT_PrimaryEnergyCons!I$4:I$10000)</f>
        <v>16.520789267810589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77.404073620847043</v>
      </c>
      <c r="G27" s="1" cm="1">
        <f t="array" ref="G27">SUMPRODUCT(("GSL"=[1]OUT_PrimaryEnergyCons!$C$4:$C$10000)*1,[1]OUT_PrimaryEnergyCons!E$4:E$10000)</f>
        <v>75.649647193300396</v>
      </c>
      <c r="H27" s="1" cm="1">
        <f t="array" ref="H27">SUMPRODUCT(("GSL"=[1]OUT_PrimaryEnergyCons!$C$4:$C$10000)*1,[1]OUT_PrimaryEnergyCons!F$4:F$10000)</f>
        <v>70.929145538586567</v>
      </c>
      <c r="I27" s="1" cm="1">
        <f t="array" ref="I27">SUMPRODUCT(("GSL"=[1]OUT_PrimaryEnergyCons!$C$4:$C$10000)*1,[1]OUT_PrimaryEnergyCons!G$4:G$10000)</f>
        <v>41.082883194158065</v>
      </c>
      <c r="J27" s="1" cm="1">
        <f t="array" ref="J27">SUMPRODUCT(("GSL"=[2]OUT_PrimaryEnergyCons!$C$4:$C$10000)*1,[2]OUT_PrimaryEnergyCons!H$4:H$10000)</f>
        <v>16.782935118647938</v>
      </c>
      <c r="K27" s="1" cm="1">
        <f t="array" ref="K27">SUMPRODUCT(("GSL"=[2]OUT_PrimaryEnergyCons!$C$4:$C$10000)*1,[2]OUT_PrimaryEnergyCons!I$4:I$10000)</f>
        <v>2.7234077441626163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1.1093794036503803</v>
      </c>
      <c r="G28" s="1" cm="1">
        <f t="array" ref="G28">SUMPRODUCT(("KER"=[1]OUT_PrimaryEnergyCons!$C$4:$C$10000)*1,[1]OUT_PrimaryEnergyCons!E$4:E$10000)</f>
        <v>1.4041021466046504</v>
      </c>
      <c r="H28" s="1" cm="1">
        <f t="array" ref="H28">SUMPRODUCT(("KER"=[1]OUT_PrimaryEnergyCons!$C$4:$C$10000)*1,[1]OUT_PrimaryEnergyCons!F$4:F$10000)</f>
        <v>1.8282779230786981</v>
      </c>
      <c r="I28" s="1" cm="1">
        <f t="array" ref="I28">SUMPRODUCT(("KER"=[1]OUT_PrimaryEnergyCons!$C$4:$C$10000)*1,[1]OUT_PrimaryEnergyCons!G$4:G$10000)</f>
        <v>2.4457699005055282</v>
      </c>
      <c r="J28" s="1" cm="1">
        <f t="array" ref="J28">SUMPRODUCT(("KER"=[2]OUT_PrimaryEnergyCons!$C$4:$C$10000)*1,[2]OUT_PrimaryEnergyCons!H$4:H$10000)</f>
        <v>2.5840771400642821</v>
      </c>
      <c r="K28" s="1" cm="1">
        <f t="array" ref="K28">SUMPRODUCT(("KER"=[2]OUT_PrimaryEnergyCons!$C$4:$C$10000)*1,[2]OUT_PrimaryEnergyCons!I$4:I$10000)</f>
        <v>2.1483243717315141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5.8609505526711647</v>
      </c>
      <c r="G29" s="1">
        <f t="shared" ref="G29:K29" si="25">SUM(G30:G32)</f>
        <v>5.859156062523784</v>
      </c>
      <c r="H29" s="1">
        <f t="shared" si="25"/>
        <v>5.8592666053938247</v>
      </c>
      <c r="I29" s="1">
        <f t="shared" si="25"/>
        <v>10.353312597202482</v>
      </c>
      <c r="J29" s="1">
        <f t="shared" si="25"/>
        <v>21.248524744335544</v>
      </c>
      <c r="K29" s="1">
        <f t="shared" si="25"/>
        <v>32.688834375175674</v>
      </c>
      <c r="L29" s="1">
        <f t="shared" ref="L29" si="26">SUM(L30:L32)</f>
        <v>80.6950440748722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2.8760568952153025</v>
      </c>
      <c r="G30" s="1" cm="1">
        <f t="array" ref="G30">SUMPRODUCT(ISNUMBER(SEARCH("IMPBDS",[1]OUT_SyntheticFuels!$C$4:$C$1000))*1,("Var_Fout"=[1]OUT_SyntheticFuels!$B$4:$B$1000)*1,[1]OUT_SyntheticFuels!F$4:F$1000)-G32</f>
        <v>1.8135911085892917</v>
      </c>
      <c r="H30" s="1" cm="1">
        <f t="array" ref="H30">SUMPRODUCT(ISNUMBER(SEARCH("IMPBDS",[1]OUT_SyntheticFuels!$C$4:$C$1000))*1,("Var_Fout"=[1]OUT_SyntheticFuels!$B$4:$B$1000)*1,[1]OUT_SyntheticFuels!G$4:G$1000)-H32</f>
        <v>3.2681377156991562</v>
      </c>
      <c r="I30" s="1" cm="1">
        <f t="array" ref="I30">SUMPRODUCT(ISNUMBER(SEARCH("IMPBDS",[1]OUT_SyntheticFuels!$C$4:$C$1000))*1,("Var_Fout"=[1]OUT_SyntheticFuels!$B$4:$B$1000)*1,[1]OUT_SyntheticFuels!H$4:H$1000)-I32</f>
        <v>3.2465039351268459</v>
      </c>
      <c r="J30" s="1" cm="1">
        <f t="array" ref="J30">SUMPRODUCT(ISNUMBER(SEARCH("IMPBDS",[2]OUT_SyntheticFuels!$C$4:$C$1000))*1,("Var_Fout"=[2]OUT_SyntheticFuels!$B$4:$B$1000)*1,[2]OUT_SyntheticFuels!I$4:I$1000)-J32</f>
        <v>3.2602006698772321</v>
      </c>
      <c r="K30" s="1" cm="1">
        <f t="array" ref="K30">SUMPRODUCT(ISNUMBER(SEARCH("IMPBDS",[2]OUT_SyntheticFuels!$C$4:$C$1000))*1,("Var_Fout"=[2]OUT_SyntheticFuels!$B$4:$B$1000)*1,[2]OUT_SyntheticFuels!J$4:J$1000)-K32</f>
        <v>3.1971350810523518</v>
      </c>
      <c r="L30" s="1" cm="1">
        <f t="array" ref="L30">SUMPRODUCT(ISNUMBER(SEARCH("IMPBDS",[2]OUT_SyntheticFuels!$C$4:$C$1000))*1,("Var_Fout"=[2]OUT_SyntheticFuels!$B$4:$B$1000)*1,[2]OUT_SyntheticFuels!K$4:K$1000)-L32</f>
        <v>4.0672737041930418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2.9848618205759734</v>
      </c>
      <c r="G31" s="1" cm="1">
        <f t="array" ref="G31">SUMPRODUCT(ISNUMBER(SEARCH("IMPeth",[1]OUT_SyntheticFuels!$C$4:$C$1000))*1,("Var_Fout"=[1]OUT_SyntheticFuels!$B$4:$B$1000)*1,[1]OUT_SyntheticFuels!F$4:F$1000)</f>
        <v>4.0443988278181138</v>
      </c>
      <c r="H31" s="1" cm="1">
        <f t="array" ref="H31">SUMPRODUCT(ISNUMBER(SEARCH("IMPeth",[1]OUT_SyntheticFuels!$C$4:$C$1000))*1,("Var_Fout"=[1]OUT_SyntheticFuels!$B$4:$B$1000)*1,[1]OUT_SyntheticFuels!G$4:G$1000)</f>
        <v>2.570739257428853</v>
      </c>
      <c r="I31" s="1" cm="1">
        <f t="array" ref="I31">SUMPRODUCT(ISNUMBER(SEARCH("IMPeth",[1]OUT_SyntheticFuels!$C$4:$C$1000))*1,("Var_Fout"=[1]OUT_SyntheticFuels!$B$4:$B$1000)*1,[1]OUT_SyntheticFuels!H$4:H$1000)</f>
        <v>1.9550049530579647</v>
      </c>
      <c r="J31" s="1" cm="1">
        <f t="array" ref="J31">SUMPRODUCT(ISNUMBER(SEARCH("IMPeth",[2]OUT_SyntheticFuels!$C$4:$C$1000))*1,("Var_Fout"=[2]OUT_SyntheticFuels!$B$4:$B$1000)*1,[2]OUT_SyntheticFuels!I$4:I$1000)</f>
        <v>1.3267848581271025</v>
      </c>
      <c r="K31" s="1" cm="1">
        <f t="array" ref="K31">SUMPRODUCT(ISNUMBER(SEARCH("IMPeth",[2]OUT_SyntheticFuels!$C$4:$C$1000))*1,("Var_Fout"=[2]OUT_SyntheticFuels!$B$4:$B$1000)*1,[2]OUT_SyntheticFuels!J$4:J$1000)</f>
        <v>2.6614911730490776</v>
      </c>
      <c r="L31" s="1" cm="1">
        <f t="array" ref="L31">SUMPRODUCT(ISNUMBER(SEARCH("IMPeth",[2]OUT_SyntheticFuels!$C$4:$C$1000))*1,("Var_Fout"=[2]OUT_SyntheticFuels!$B$4:$B$1000)*1,[2]OUT_SyntheticFuels!K$4:K$1000)</f>
        <v>0.10821410358253884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3.18368798889021E-5</v>
      </c>
      <c r="G32" s="1">
        <f>SUM([1]Transport_Aviation_Intl!C$12,[1]Transport!C$28)</f>
        <v>1.16612611637865E-3</v>
      </c>
      <c r="H32" s="1">
        <f>SUM([1]Transport_Aviation_Intl!D$12,[1]Transport!D$28)</f>
        <v>2.0389632265815898E-2</v>
      </c>
      <c r="I32" s="1">
        <f>SUM([1]Transport_Aviation_Intl!E$12,[1]Transport!E$28)</f>
        <v>5.1518037090176705</v>
      </c>
      <c r="J32" s="1">
        <f>SUM([2]Transport_Aviation_Intl!F$12,[2]Transport!F$28)</f>
        <v>16.66153921633121</v>
      </c>
      <c r="K32" s="1">
        <f>SUM([2]Transport_Aviation_Intl!G$12,[2]Transport!G$28)</f>
        <v>26.830208121074246</v>
      </c>
      <c r="L32" s="1">
        <f>SUM([2]Transport_Aviation_Intl!H$12,[2]Transport!H$28)</f>
        <v>76.519556267096618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5.8609505526711647</v>
      </c>
      <c r="G33" s="1">
        <f t="shared" si="27"/>
        <v>5.859156062523784</v>
      </c>
      <c r="H33" s="1">
        <f t="shared" si="27"/>
        <v>5.8592666053938247</v>
      </c>
      <c r="I33" s="1">
        <f t="shared" si="27"/>
        <v>10.353312597202482</v>
      </c>
      <c r="J33" s="1">
        <f t="shared" si="27"/>
        <v>9.7387892370220044</v>
      </c>
      <c r="K33" s="1">
        <f>SUM(K34:K36)</f>
        <v>22.520165470432637</v>
      </c>
      <c r="L33" s="1">
        <f>SUM(L34:L36)</f>
        <v>30.206559940355941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2.8760568952153025</v>
      </c>
      <c r="G34" s="1">
        <f t="shared" si="28"/>
        <v>1.8135911085892917</v>
      </c>
      <c r="H34" s="1">
        <f t="shared" si="28"/>
        <v>3.2681377156991562</v>
      </c>
      <c r="I34" s="1">
        <f t="shared" si="28"/>
        <v>3.2465039351268459</v>
      </c>
      <c r="J34" s="1">
        <f>IF(J30-MAX(F30:I30)&lt;0,J30,MAX(F30:I30))</f>
        <v>3.2602006698772321</v>
      </c>
      <c r="K34" s="1">
        <f>IF(K30-MAX(F30:J30)&lt;0,K30,MAX(F30:J30))</f>
        <v>3.1971350810523518</v>
      </c>
      <c r="L34" s="1">
        <f>IF(L30-MAX(G30:K30)&lt;0,L30,MAX(G30:K30))</f>
        <v>3.2681377156991562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2.9848618205759734</v>
      </c>
      <c r="G35" s="1">
        <f t="shared" si="28"/>
        <v>4.0443988278181138</v>
      </c>
      <c r="H35" s="1">
        <f t="shared" si="28"/>
        <v>2.570739257428853</v>
      </c>
      <c r="I35" s="1">
        <f t="shared" si="28"/>
        <v>1.9550049530579647</v>
      </c>
      <c r="J35" s="1">
        <f>IF(J31-MAX(F31:I31)&lt;0,J31,MAX(F31:I31))</f>
        <v>1.3267848581271025</v>
      </c>
      <c r="K35" s="1">
        <f>IF(K31-MAX(F31:J31)&lt;0,K31,MAX(F31:J31))</f>
        <v>2.6614911730490776</v>
      </c>
      <c r="L35" s="1">
        <f>IF(L31-MAX(G31:K31)&lt;0,L31,MAX(G31:K31))</f>
        <v>0.10821410358253884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3.18368798889021E-5</v>
      </c>
      <c r="G36" s="1">
        <f>SUM([1]Transport!C$28,[1]Transport_Aviation_Intl!C$12)</f>
        <v>1.16612611637865E-3</v>
      </c>
      <c r="H36" s="1">
        <f>SUM([1]Transport!D$28,[1]Transport_Aviation_Intl!D$12)</f>
        <v>2.0389632265815898E-2</v>
      </c>
      <c r="I36" s="1">
        <f>SUM([1]Transport!E$28,[1]Transport_Aviation_Intl!E$12)</f>
        <v>5.1518037090176705</v>
      </c>
      <c r="J36" s="1">
        <f>IF(J32-MAX(F32:I32)&lt;0,J32,MAX(F32:I32))</f>
        <v>5.1518037090176705</v>
      </c>
      <c r="K36" s="1">
        <f>IF(K32-MAX(G32:J32)&lt;0,K32,MAX(G32:J32))</f>
        <v>16.66153921633121</v>
      </c>
      <c r="L36" s="1">
        <f>IF(L32-MAX(H32:K32)&lt;0,L32,MAX(H32:K32))</f>
        <v>26.830208121074246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11.50973550731354</v>
      </c>
      <c r="K37" s="1">
        <f t="shared" si="29"/>
        <v>10.168668904743036</v>
      </c>
      <c r="L37" s="1">
        <f t="shared" ref="L37" si="30">SUM(L38:L40)</f>
        <v>50.488484134516256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0.79913598849388556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11.50973550731354</v>
      </c>
      <c r="K40" s="1">
        <f t="shared" si="31"/>
        <v>10.168668904743036</v>
      </c>
      <c r="L40" s="1">
        <f t="shared" ref="L40" si="34">L32-L36</f>
        <v>49.689348146022368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118.81618615236589</v>
      </c>
      <c r="G41" s="1">
        <f t="shared" ref="G41:K41" si="36">G42+G45</f>
        <v>106.72179597074525</v>
      </c>
      <c r="H41" s="1">
        <f t="shared" si="36"/>
        <v>106.23083898984014</v>
      </c>
      <c r="I41" s="1">
        <f t="shared" si="36"/>
        <v>79.110953288860841</v>
      </c>
      <c r="J41" s="1">
        <f t="shared" si="36"/>
        <v>56.06643954548106</v>
      </c>
      <c r="K41" s="1">
        <f t="shared" si="36"/>
        <v>15.870544352770255</v>
      </c>
      <c r="L41" s="1">
        <f t="shared" ref="L41" si="37">L42+L45</f>
        <v>9.5006784509315591E-4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118.81618615236589</v>
      </c>
      <c r="G42" s="1">
        <f t="shared" ref="G42:K42" si="38">G43+G44</f>
        <v>106.72001471923431</v>
      </c>
      <c r="H42" s="1">
        <f t="shared" si="38"/>
        <v>106.22916669823748</v>
      </c>
      <c r="I42" s="1">
        <f t="shared" si="38"/>
        <v>78.583730394163766</v>
      </c>
      <c r="J42" s="1">
        <f t="shared" si="38"/>
        <v>54.788120470863028</v>
      </c>
      <c r="K42" s="1">
        <f t="shared" si="38"/>
        <v>15.864116056579048</v>
      </c>
      <c r="L42" s="1">
        <f t="shared" ref="L42" si="39">L43+L44</f>
        <v>1.6347674676863942E-5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118.81618615236589</v>
      </c>
      <c r="G43" s="1" cm="1">
        <f t="array" ref="G43">SUMPRODUCT(("NGA"=[1]OUT_PrimaryEnergyCons!$C$4:$C$10000)*1,[1]OUT_PrimaryEnergyCons!E$4:E$10000)</f>
        <v>106.72001471923431</v>
      </c>
      <c r="H43" s="1" cm="1">
        <f t="array" ref="H43">SUMPRODUCT(("NGA"=[1]OUT_PrimaryEnergyCons!$C$4:$C$10000)*1,[1]OUT_PrimaryEnergyCons!F$4:F$10000)</f>
        <v>106.22916669823748</v>
      </c>
      <c r="I43" s="1" cm="1">
        <f t="array" ref="I43">SUMPRODUCT(("NGA"=[1]OUT_PrimaryEnergyCons!$C$4:$C$10000)*1,[1]OUT_PrimaryEnergyCons!G$4:G$10000)</f>
        <v>78.53998988218585</v>
      </c>
      <c r="J43" s="1" cm="1">
        <f t="array" ref="J43">SUMPRODUCT(("NGA"=[2]OUT_PrimaryEnergyCons!$C$4:$C$10000)*1,[2]OUT_PrimaryEnergyCons!H$4:H$10000)</f>
        <v>54.781631985200029</v>
      </c>
      <c r="K43" s="1" cm="1">
        <f t="array" ref="K43">SUMPRODUCT(("NGA"=[2]OUT_PrimaryEnergyCons!$C$4:$C$10000)*1,[2]OUT_PrimaryEnergyCons!I$4:I$10000)</f>
        <v>15.859415676860577</v>
      </c>
      <c r="L43" s="1" cm="1">
        <f t="array" ref="L43">SUMPRODUCT(("NGA"=[2]OUT_PrimaryEnergyCons!$C$4:$C$10000)*1,[2]OUT_PrimaryEnergyCons!J$4:J$10000)</f>
        <v>4.3766899970154617E-6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4.3740511977914093E-2</v>
      </c>
      <c r="J44" s="1" cm="1">
        <f t="array" ref="J44">SUMPRODUCT(("LNGA"=[2]OUT_PrimaryEnergyCons!$C$4:$C$10000)*1,[2]OUT_PrimaryEnergyCons!H$4:H$10000)</f>
        <v>6.4884856629986261E-3</v>
      </c>
      <c r="K44" s="1" cm="1">
        <f t="array" ref="K44">SUMPRODUCT(("LNGA"=[2]OUT_PrimaryEnergyCons!$C$4:$C$10000)*1,[2]OUT_PrimaryEnergyCons!I$4:I$10000)</f>
        <v>4.700379718471411E-3</v>
      </c>
      <c r="L44" s="1" cm="1">
        <f t="array" ref="L44">SUMPRODUCT(("LNGA"=[2]OUT_PrimaryEnergyCons!$C$4:$C$10000)*1,[2]OUT_PrimaryEnergyCons!J$4:J$10000)</f>
        <v>1.1970984679848482E-5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1.7812515109373096E-3</v>
      </c>
      <c r="H45" s="1" cm="1">
        <f t="array" ref="H45">SUMPRODUCT(("BIO"=[1]OUT_PrimaryEnergyCons!$C$4:$C$10000)*1+("LBIO"=[1]OUT_PrimaryEnergyCons!$C$4:$C$10000)*1,[1]OUT_PrimaryEnergyCons!F$4:F$10000)</f>
        <v>1.6722916026538155E-3</v>
      </c>
      <c r="I45" s="1" cm="1">
        <f t="array" ref="I45">SUMPRODUCT(("BIO"=[1]OUT_PrimaryEnergyCons!$C$4:$C$10000)*1+("LBIO"=[1]OUT_PrimaryEnergyCons!$C$4:$C$10000)*1,[1]OUT_PrimaryEnergyCons!G$4:G$10000)</f>
        <v>0.5272228946970724</v>
      </c>
      <c r="J45" s="1" cm="1">
        <f t="array" ref="J45">SUMPRODUCT(("BIO"=[2]OUT_PrimaryEnergyCons!$C$4:$C$10000)*1+("LBIO"=[2]OUT_PrimaryEnergyCons!$C$4:$C$10000)*1,[2]OUT_PrimaryEnergyCons!H$4:H$10000)</f>
        <v>1.2783190746180322</v>
      </c>
      <c r="K45" s="1" cm="1">
        <f t="array" ref="K45">SUMPRODUCT(("BIO"=[2]OUT_PrimaryEnergyCons!$C$4:$C$10000)*1+("LBIO"=[2]OUT_PrimaryEnergyCons!$C$4:$C$10000)*1,[2]OUT_PrimaryEnergyCons!I$4:I$10000)</f>
        <v>6.4282961912065367E-3</v>
      </c>
      <c r="L45" s="1" cm="1">
        <f t="array" ref="L45">SUMPRODUCT(("BIO"=[2]OUT_PrimaryEnergyCons!$C$4:$C$10000)*1+("LBIO"=[2]OUT_PrimaryEnergyCons!$C$4:$C$10000)*1,[2]OUT_PrimaryEnergyCons!J$4:J$10000)</f>
        <v>9.3372017041629194E-4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1.7812515109373096E-3</v>
      </c>
      <c r="H46" s="1">
        <f t="shared" si="41"/>
        <v>1.6722916026538155E-3</v>
      </c>
      <c r="I46" s="1">
        <f t="shared" si="41"/>
        <v>0.5272228946970724</v>
      </c>
      <c r="J46" s="1">
        <f t="shared" si="41"/>
        <v>0.5272228946970724</v>
      </c>
      <c r="K46" s="1">
        <f t="shared" si="41"/>
        <v>6.4282961912065367E-3</v>
      </c>
      <c r="L46" s="1">
        <f t="shared" si="41"/>
        <v>9.3372017041629194E-4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1.7812515109373096E-3</v>
      </c>
      <c r="H47" s="1">
        <f>H45</f>
        <v>1.6722916026538155E-3</v>
      </c>
      <c r="I47" s="1">
        <f>I45</f>
        <v>0.5272228946970724</v>
      </c>
      <c r="J47" s="1">
        <f>IF(J45-MAX(F45:I45)&lt;0,J45,MAX(F45:I45))</f>
        <v>0.5272228946970724</v>
      </c>
      <c r="K47" s="1">
        <f>IF(K45-MAX(G45:J45)&lt;0,K45,MAX(G45:J45))</f>
        <v>6.4282961912065367E-3</v>
      </c>
      <c r="L47" s="1">
        <f>IF(L45-MAX(H45:K45)&lt;0,L45,MAX(H45:K45))</f>
        <v>9.3372017041629194E-4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0.75109617992095978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0.75109617992095978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250.9487170795704</v>
      </c>
      <c r="G50" s="1" cm="1">
        <f t="array" ref="G50">SUMPRODUCT(("urn"=[1]OUT_PrimaryEnergyCons!$C$4:$C$10000)*1,[1]OUT_PrimaryEnergyCons!E$4:E$10000)</f>
        <v>253.29674232384011</v>
      </c>
      <c r="H50" s="1" cm="1">
        <f t="array" ref="H50">SUMPRODUCT(("urn"=[1]OUT_PrimaryEnergyCons!$C$4:$C$10000)*1,[1]OUT_PrimaryEnergyCons!F$4:F$10000)</f>
        <v>233.18388719099895</v>
      </c>
      <c r="I50" s="1" cm="1">
        <f t="array" ref="I50">SUMPRODUCT(("urn"=[1]OUT_PrimaryEnergyCons!$C$4:$C$10000)*1,[1]OUT_PrimaryEnergyCons!G$4:G$10000)</f>
        <v>211.82169140682569</v>
      </c>
      <c r="J50" s="1" cm="1">
        <f t="array" ref="J50">SUMPRODUCT(("urn"=[2]OUT_PrimaryEnergyCons!$C$4:$C$10000)*1,[2]OUT_PrimaryEnergyCons!H$4:H$10000)</f>
        <v>167.60293030252669</v>
      </c>
      <c r="K50" s="1" cm="1">
        <f t="array" ref="K50">SUMPRODUCT(("urn"=[2]OUT_PrimaryEnergyCons!$C$4:$C$10000)*1,[2]OUT_PrimaryEnergyCons!I$4:I$10000)</f>
        <v>98.945514148005145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97.160165903260548</v>
      </c>
      <c r="G51" s="1">
        <f t="shared" ref="G51:K51" si="46">SUM(G52:G55)</f>
        <v>50.302684492172048</v>
      </c>
      <c r="H51" s="1">
        <f t="shared" si="46"/>
        <v>50.448849791695977</v>
      </c>
      <c r="I51" s="1">
        <f t="shared" si="46"/>
        <v>50.701135921663187</v>
      </c>
      <c r="J51" s="1">
        <f t="shared" si="46"/>
        <v>55.370414057195234</v>
      </c>
      <c r="K51" s="1">
        <f t="shared" si="46"/>
        <v>25.42096547437832</v>
      </c>
      <c r="L51" s="1">
        <f t="shared" ref="L51" si="47">SUM(L52:L55)</f>
        <v>19.008591919514988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15.013856275659503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0.94657119544528923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0.51305837026265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0.52562360039349076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0.16260614910449114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8.1266190898634447E-2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7.3749348896935141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28.948670600564245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21.080686840054629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26.594131344599681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18.064614718796527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17.848631049132337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8.8890220479343611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6.2580409575924225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46.3985156408202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28.265630226990357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23.333218548066622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32.107053704417403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37.35861680196858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16.450288581272044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5.3753265889311699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6.7991233862165927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9.7962296817703486E-3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8.4415287670235387E-3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3.8438980557683514E-3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5.6005698982760212E-4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3.8865427327855912E-4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2.8948329787970402E-4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8.9006088432262247E-6</v>
      </c>
      <c r="L56" s="1" cm="1">
        <f t="array" ref="L56">SUMPRODUCT(("h2"=[2]OUT_PrimaryEnergyCons!$C$4:$C$10000)*1,[2]OUT_PrimaryEnergyCons!J$4:J$10000)</f>
        <v>8.2548698153213751E-6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117.17025668577485</v>
      </c>
      <c r="G57" s="3">
        <f t="shared" ref="G57:L57" si="51">G58</f>
        <v>34.90251893488643</v>
      </c>
      <c r="H57" s="3">
        <f t="shared" si="51"/>
        <v>71.952545708917654</v>
      </c>
      <c r="I57" s="3">
        <f t="shared" si="51"/>
        <v>52.700913642029796</v>
      </c>
      <c r="J57" s="3">
        <f t="shared" si="51"/>
        <v>36.090780641295012</v>
      </c>
      <c r="K57" s="3">
        <f t="shared" si="51"/>
        <v>27.42096168283663</v>
      </c>
      <c r="L57" s="3">
        <f t="shared" si="51"/>
        <v>21.008593043654365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117.17025668577485</v>
      </c>
      <c r="G58" s="1">
        <f t="shared" ref="G58:K58" si="52">SUM(G59:G62)</f>
        <v>34.90251893488643</v>
      </c>
      <c r="H58" s="1">
        <f t="shared" si="52"/>
        <v>71.952545708917654</v>
      </c>
      <c r="I58" s="1">
        <f t="shared" si="52"/>
        <v>52.700913642029796</v>
      </c>
      <c r="J58" s="1">
        <f t="shared" si="52"/>
        <v>36.090780641295012</v>
      </c>
      <c r="K58" s="1">
        <f t="shared" si="52"/>
        <v>27.42096168283663</v>
      </c>
      <c r="L58" s="1">
        <f t="shared" ref="L58" si="53">SUM(L59:L62)</f>
        <v>21.008593043654365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6.2296562858476987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1.5931736788436374E-2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2.0913411592458787E-2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3.8060721036487187E-3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4.7057548687569919E-4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5.1036310283895622E-4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3.2105811007765922E-4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12.753444394505104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1.3559253697069708E-2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1.4263996112231685E-2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6.9464090622277999E-3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1.4555511641189635E-3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7.3393389985562081E-3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5.6451789423198721E-3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26.493024221127655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1.0514877998353319E-2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1.2516595336610458E-2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9.1876373848008511E-3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1.9138864364792599E-3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5.3547850626956975E-3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1.9723205449428878E-3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71.694131784294385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34.86251306640257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71.904851705876354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52.680973523479118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36.086940628207536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27.407757195672538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21.000654486057023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251.09305255219283</v>
      </c>
      <c r="G63" s="3">
        <f t="shared" ref="G63:K63" si="58">SUM(G64,G66,G74,G82,G130,G151,G159,G161,G169,G173,G167)</f>
        <v>229.63445420735781</v>
      </c>
      <c r="H63" s="3">
        <f t="shared" si="58"/>
        <v>256.81209272152972</v>
      </c>
      <c r="I63" s="3">
        <f t="shared" si="58"/>
        <v>320.14308435946305</v>
      </c>
      <c r="J63" s="3">
        <f t="shared" si="58"/>
        <v>284.16953585047446</v>
      </c>
      <c r="K63" s="3">
        <f t="shared" si="58"/>
        <v>342.06037673840984</v>
      </c>
      <c r="L63" s="3">
        <f t="shared" ref="L63" si="59">SUM(L64,L66,L74,L82,L130,L151,L159,L161,L169,L173,L167)</f>
        <v>354.75240803152013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82.760065957019648</v>
      </c>
      <c r="G64" s="1">
        <f t="shared" ref="G64:L64" si="60">+G65</f>
        <v>82.759336656114726</v>
      </c>
      <c r="H64" s="1">
        <f t="shared" si="60"/>
        <v>76.100906333578592</v>
      </c>
      <c r="I64" s="1">
        <f t="shared" si="60"/>
        <v>69.908765460793006</v>
      </c>
      <c r="J64" s="1">
        <f t="shared" si="60"/>
        <v>55.379436229839229</v>
      </c>
      <c r="K64" s="1">
        <f t="shared" si="60"/>
        <v>32.820804889789272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82.760065957019648</v>
      </c>
      <c r="G65" s="1">
        <f>'[1]Electricity and CHPs'!C14</f>
        <v>82.759336656114726</v>
      </c>
      <c r="H65" s="1">
        <f>'[1]Electricity and CHPs'!D14</f>
        <v>76.100906333578592</v>
      </c>
      <c r="I65" s="1">
        <f>'[1]Electricity and CHPs'!E14</f>
        <v>69.908765460793006</v>
      </c>
      <c r="J65" s="1">
        <f>'[2]Electricity and CHPs'!F14</f>
        <v>55.379436229839229</v>
      </c>
      <c r="K65" s="1">
        <f>'[2]Electricity and CHPs'!G14</f>
        <v>32.820804889789272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146.22010093623271</v>
      </c>
      <c r="G66" s="1">
        <f t="shared" ref="G66:K66" si="64">SUM(G67:G69)</f>
        <v>121.6335113040431</v>
      </c>
      <c r="H66" s="1">
        <f t="shared" si="64"/>
        <v>137.11289198949981</v>
      </c>
      <c r="I66" s="1">
        <f t="shared" si="64"/>
        <v>180.51613421829785</v>
      </c>
      <c r="J66" s="1">
        <f t="shared" si="64"/>
        <v>149.34883840229577</v>
      </c>
      <c r="K66" s="1">
        <f t="shared" si="64"/>
        <v>151.83089158147612</v>
      </c>
      <c r="L66" s="1">
        <f t="shared" ref="L66" si="65">SUM(L67:L69)</f>
        <v>155.85759691952882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66.745681606063101</v>
      </c>
      <c r="G67" s="1">
        <f>'[1]Electricity and CHPs'!C15</f>
        <v>49.798777987808691</v>
      </c>
      <c r="H67" s="1">
        <f>'[1]Electricity and CHPs'!D15</f>
        <v>68.970400584037336</v>
      </c>
      <c r="I67" s="1">
        <f>'[1]Electricity and CHPs'!E15</f>
        <v>70.970232393460137</v>
      </c>
      <c r="J67" s="1">
        <f>'[2]Electricity and CHPs'!F15</f>
        <v>72.61624215309584</v>
      </c>
      <c r="K67" s="1">
        <f>'[2]Electricity and CHPs'!G15</f>
        <v>73.931684780467094</v>
      </c>
      <c r="L67" s="1">
        <f>'[2]Electricity and CHPs'!H15</f>
        <v>74.836059984174653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66.632430866657671</v>
      </c>
      <c r="G68" s="1">
        <f>'[1]Electricity and CHPs'!C16</f>
        <v>55.764055694378619</v>
      </c>
      <c r="H68" s="1">
        <f>'[1]Electricity and CHPs'!D16</f>
        <v>65.677217745587797</v>
      </c>
      <c r="I68" s="1">
        <f>'[1]Electricity and CHPs'!E16</f>
        <v>64.853740316850036</v>
      </c>
      <c r="J68" s="1">
        <f>'[2]Electricity and CHPs'!F16</f>
        <v>63.870159829891385</v>
      </c>
      <c r="K68" s="1">
        <f>'[2]Electricity and CHPs'!G16</f>
        <v>64.382938209233785</v>
      </c>
      <c r="L68" s="1">
        <f>'[2]Electricity and CHPs'!H16</f>
        <v>67.134977010270831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12.841988463511951</v>
      </c>
      <c r="G69" s="1">
        <f>'[1]Electricity and CHPs'!C17</f>
        <v>16.070677621855776</v>
      </c>
      <c r="H69" s="1">
        <f>'[1]Electricity and CHPs'!D17</f>
        <v>2.4652736598746894</v>
      </c>
      <c r="I69" s="1">
        <f>'[1]Electricity and CHPs'!E17</f>
        <v>44.692161507987691</v>
      </c>
      <c r="J69" s="1">
        <f>'[2]Electricity and CHPs'!F17</f>
        <v>12.862436419308541</v>
      </c>
      <c r="K69" s="1">
        <f>'[2]Electricity and CHPs'!G17</f>
        <v>13.516268591775255</v>
      </c>
      <c r="L69" s="1">
        <f>'[2]Electricity and CHPs'!H17</f>
        <v>13.886559925083338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0.11202369329304002</v>
      </c>
      <c r="G70" s="1">
        <f t="shared" ref="G70" si="67">SUM(G71:G73)</f>
        <v>0.17158047882708286</v>
      </c>
      <c r="H70" s="1">
        <f t="shared" ref="H70" si="68">SUM(H71:H73)</f>
        <v>0.17156991692285478</v>
      </c>
      <c r="I70" s="1">
        <f t="shared" ref="I70" si="69">SUM(I71:I73)</f>
        <v>0.16833188018214548</v>
      </c>
      <c r="J70" s="1">
        <f t="shared" ref="J70" si="70">SUM(J71:J73)</f>
        <v>0.17154477880717853</v>
      </c>
      <c r="K70" s="1">
        <f t="shared" ref="K70:L70" si="71">SUM(K71:K73)</f>
        <v>5.8863873442648786E-3</v>
      </c>
      <c r="L70" s="1">
        <f t="shared" si="71"/>
        <v>7.0088181717336461E-5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3.9634894610343877E-2</v>
      </c>
      <c r="G71" s="1">
        <f>'[1]Electricity and CHPs'!C18</f>
        <v>2.5645816070054618E-3</v>
      </c>
      <c r="H71" s="1">
        <f>'[1]Electricity and CHPs'!D18</f>
        <v>3.759870426523073E-2</v>
      </c>
      <c r="I71" s="1">
        <f>'[1]Electricity and CHPs'!E18</f>
        <v>5.1097582842592843E-3</v>
      </c>
      <c r="J71" s="1">
        <f>'[2]Electricity and CHPs'!F18</f>
        <v>6.303080726319207E-3</v>
      </c>
      <c r="K71" s="1">
        <f>'[2]Electricity and CHPs'!G18</f>
        <v>5.2380766489081394E-3</v>
      </c>
      <c r="L71" s="1">
        <f>'[2]Electricity and CHPs'!H18</f>
        <v>5.8612544673941597E-5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1.8349123239430553E-3</v>
      </c>
      <c r="G72" s="1">
        <f>'[1]Electricity and CHPs'!C28</f>
        <v>2.4504348226983604E-3</v>
      </c>
      <c r="H72" s="1">
        <f>'[1]Electricity and CHPs'!D28</f>
        <v>8.458607703420223E-3</v>
      </c>
      <c r="I72" s="1">
        <f>'[1]Electricity and CHPs'!E28</f>
        <v>1.9039403292679326E-3</v>
      </c>
      <c r="J72" s="1">
        <f>'[2]Electricity and CHPs'!F28</f>
        <v>1.3989427621364616E-3</v>
      </c>
      <c r="K72" s="1">
        <f>'[2]Electricity and CHPs'!G28</f>
        <v>6.4831069535673967E-4</v>
      </c>
      <c r="L72" s="1">
        <f>'[2]Electricity and CHPs'!H28</f>
        <v>1.147563704339486E-5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7.0553886358753079E-2</v>
      </c>
      <c r="G73" s="1">
        <f>'[1]Electricity and CHPs'!C41</f>
        <v>0.16656546239737904</v>
      </c>
      <c r="H73" s="1">
        <f>'[1]Electricity and CHPs'!D41</f>
        <v>0.12551260495420383</v>
      </c>
      <c r="I73" s="1">
        <f>'[1]Electricity and CHPs'!E41</f>
        <v>0.16131818156861827</v>
      </c>
      <c r="J73" s="1">
        <f>'[2]Electricity and CHPs'!F41</f>
        <v>0.16384275531872286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0.11202369329304002</v>
      </c>
      <c r="G74" s="1">
        <f t="shared" ref="G74:K74" si="75">SUM(G75:G77)</f>
        <v>0.17158047882708286</v>
      </c>
      <c r="H74" s="1">
        <f t="shared" si="75"/>
        <v>0.17156991692285478</v>
      </c>
      <c r="I74" s="1">
        <f t="shared" si="75"/>
        <v>0.16833188018214548</v>
      </c>
      <c r="J74" s="1">
        <f t="shared" si="75"/>
        <v>0.17154477880717853</v>
      </c>
      <c r="K74" s="1">
        <f t="shared" si="75"/>
        <v>5.8863873442648786E-3</v>
      </c>
      <c r="L74" s="1">
        <f t="shared" ref="L74" si="76">SUM(L75:L77)</f>
        <v>7.0088181717336461E-5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3.9634894610343877E-2</v>
      </c>
      <c r="G75" s="1">
        <f t="shared" ref="G75:K75" si="77">G71</f>
        <v>2.5645816070054618E-3</v>
      </c>
      <c r="H75" s="1">
        <f t="shared" si="77"/>
        <v>3.759870426523073E-2</v>
      </c>
      <c r="I75" s="1">
        <f t="shared" si="77"/>
        <v>5.1097582842592843E-3</v>
      </c>
      <c r="J75" s="1">
        <f t="shared" si="77"/>
        <v>6.303080726319207E-3</v>
      </c>
      <c r="K75" s="1">
        <f t="shared" si="77"/>
        <v>5.2380766489081394E-3</v>
      </c>
      <c r="L75" s="1">
        <f t="shared" ref="L75" si="78">L71</f>
        <v>5.8612544673941597E-5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1.8349123239430553E-3</v>
      </c>
      <c r="G76" s="1">
        <f>'[1]Electricity and CHPs'!C28</f>
        <v>2.4504348226983604E-3</v>
      </c>
      <c r="H76" s="1">
        <f>'[1]Electricity and CHPs'!D28</f>
        <v>8.458607703420223E-3</v>
      </c>
      <c r="I76" s="1">
        <f>'[1]Electricity and CHPs'!E28</f>
        <v>1.9039403292679326E-3</v>
      </c>
      <c r="J76" s="1">
        <f>'[2]Electricity and CHPs'!F28</f>
        <v>1.3989427621364616E-3</v>
      </c>
      <c r="K76" s="1">
        <f>'[2]Electricity and CHPs'!G28</f>
        <v>6.4831069535673967E-4</v>
      </c>
      <c r="L76" s="1">
        <f>'[2]Electricity and CHPs'!H28</f>
        <v>1.147563704339486E-5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7.0553886358753079E-2</v>
      </c>
      <c r="G77" s="1">
        <f>'[1]Electricity and CHPs'!C41</f>
        <v>0.16656546239737904</v>
      </c>
      <c r="H77" s="1">
        <f>'[1]Electricity and CHPs'!D41</f>
        <v>0.12551260495420383</v>
      </c>
      <c r="I77" s="1">
        <f>'[1]Electricity and CHPs'!E41</f>
        <v>0.16131818156861827</v>
      </c>
      <c r="J77" s="1">
        <f>'[2]Electricity and CHPs'!F41</f>
        <v>0.16384275531872286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3.2825586577780554</v>
      </c>
      <c r="G82" s="1">
        <f t="shared" ref="G82:K82" si="82">SUM(G83:G97)</f>
        <v>1.9973807381422199</v>
      </c>
      <c r="H82" s="1">
        <f t="shared" si="82"/>
        <v>2.2543767095992631</v>
      </c>
      <c r="I82" s="1">
        <f t="shared" si="82"/>
        <v>1.1586353807533685</v>
      </c>
      <c r="J82" s="1">
        <f t="shared" si="82"/>
        <v>1.8175915683175443</v>
      </c>
      <c r="K82" s="1">
        <f t="shared" si="82"/>
        <v>1.341993003895313</v>
      </c>
      <c r="L82" s="1">
        <f t="shared" ref="L82" si="83">SUM(L83:L97)</f>
        <v>1.8274276029691912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1.7287996758250911E-5</v>
      </c>
      <c r="L83" s="1">
        <f>'[2]Electricity and CHPs'!H21</f>
        <v>6.345956581510148E-3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9.6613206384070246E-6</v>
      </c>
      <c r="L84" s="1">
        <f>'[2]Electricity and CHPs'!H22</f>
        <v>4.5043486064927599E-2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0.96593191713005089</v>
      </c>
      <c r="G86" s="1">
        <f>'[1]Electricity and CHPs'!C24</f>
        <v>1.9314762520194165E-2</v>
      </c>
      <c r="H86" s="1">
        <f>'[1]Electricity and CHPs'!D24</f>
        <v>7.9851462797953549E-2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0.67022153480345359</v>
      </c>
      <c r="G88" s="1">
        <f>'[1]Electricity and CHPs'!C39</f>
        <v>0.2165257068792647</v>
      </c>
      <c r="H88" s="1">
        <f>'[1]Electricity and CHPs'!D39</f>
        <v>0.47426138968811049</v>
      </c>
      <c r="I88" s="1">
        <f>'[1]Electricity and CHPs'!E39</f>
        <v>5.1811120007294945E-2</v>
      </c>
      <c r="J88" s="1">
        <f>'[2]Electricity and CHPs'!F39</f>
        <v>0.6653199913717901</v>
      </c>
      <c r="K88" s="1">
        <f>'[2]Electricity and CHPs'!G39</f>
        <v>0.14058013215422682</v>
      </c>
      <c r="L88" s="1">
        <f>'[2]Electricity and CHPs'!H39</f>
        <v>0.42392591238683891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8.0739093452461372E-2</v>
      </c>
      <c r="L89" s="1">
        <f>'[2]Electricity and CHPs'!H40</f>
        <v>0.24512924716051782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4.6321820010354143E-3</v>
      </c>
      <c r="K90" s="1">
        <f>'[2]Electricity and CHPs'!G47</f>
        <v>4.9213812449654688E-3</v>
      </c>
      <c r="L90" s="1">
        <f>'[2]Electricity and CHPs'!H47</f>
        <v>9.8630127723662903E-4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3.9655311133265141E-2</v>
      </c>
      <c r="G91" s="1">
        <f>'[1]Electricity and CHPs'!C48</f>
        <v>1.2010640760934775E-2</v>
      </c>
      <c r="H91" s="1">
        <f>'[1]Electricity and CHPs'!D48</f>
        <v>1.7645600932978896E-2</v>
      </c>
      <c r="I91" s="1">
        <f>'[1]Electricity and CHPs'!E48</f>
        <v>0</v>
      </c>
      <c r="J91" s="1">
        <f>'[2]Electricity and CHPs'!F48</f>
        <v>6.9798135950631156E-3</v>
      </c>
      <c r="K91" s="1">
        <f>'[2]Electricity and CHPs'!G48</f>
        <v>2.6155812779064137E-3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5.2667992513847454E-2</v>
      </c>
      <c r="G93" s="1">
        <f>'[1]Electricity and CHPs'!C51</f>
        <v>1.6451254986357702E-2</v>
      </c>
      <c r="H93" s="1">
        <f>'[1]Electricity and CHPs'!D51</f>
        <v>3.8739416109709636E-2</v>
      </c>
      <c r="I93" s="1">
        <f>'[1]Electricity and CHPs'!E51</f>
        <v>0</v>
      </c>
      <c r="J93" s="1">
        <f>'[2]Electricity and CHPs'!F51</f>
        <v>2.5778823734572843E-2</v>
      </c>
      <c r="K93" s="1">
        <f>'[2]Electricity and CHPs'!G51</f>
        <v>5.4911278045444017E-3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0.95943960649442961</v>
      </c>
      <c r="G95" s="1">
        <f>'[1]Electricity and CHPs'!C54</f>
        <v>1.1064357631516968</v>
      </c>
      <c r="H95" s="1">
        <f>'[1]Electricity and CHPs'!D54</f>
        <v>1.1064075775951663</v>
      </c>
      <c r="I95" s="1">
        <f>'[1]Electricity and CHPs'!E54</f>
        <v>1.1068242607460734</v>
      </c>
      <c r="J95" s="1">
        <f>'[2]Electricity and CHPs'!F54</f>
        <v>1.1059987383196199</v>
      </c>
      <c r="K95" s="1">
        <f>'[2]Electricity and CHPs'!G54</f>
        <v>1.105995881450222</v>
      </c>
      <c r="L95" s="1">
        <f>'[2]Electricity and CHPs'!H54</f>
        <v>1.10599669949816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0.59464229570300875</v>
      </c>
      <c r="G96" s="1">
        <f>'[1]Electricity and CHPs'!C55</f>
        <v>0.62664260984377185</v>
      </c>
      <c r="H96" s="1">
        <f>'[1]Electricity and CHPs'!D55</f>
        <v>0.53747126247534416</v>
      </c>
      <c r="I96" s="1">
        <f>'[1]Electricity and CHPs'!E55</f>
        <v>0</v>
      </c>
      <c r="J96" s="1">
        <f>'[2]Electricity and CHPs'!F55</f>
        <v>8.8820192954629264E-3</v>
      </c>
      <c r="K96" s="1">
        <f>'[2]Electricity and CHPs'!G55</f>
        <v>1.622857193589763E-3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2.2644921958781792</v>
      </c>
      <c r="G98" s="1">
        <f t="shared" ref="G98:K98" si="88">G82-G114</f>
        <v>0.86016264505281104</v>
      </c>
      <c r="H98" s="1">
        <f t="shared" si="88"/>
        <v>1.0859582680832778</v>
      </c>
      <c r="I98" s="1">
        <f t="shared" si="88"/>
        <v>4.649778366615509E-2</v>
      </c>
      <c r="J98" s="1">
        <f t="shared" si="88"/>
        <v>0.58414988465550555</v>
      </c>
      <c r="K98" s="1">
        <f t="shared" si="88"/>
        <v>0.14067533927256259</v>
      </c>
      <c r="L98" s="1">
        <f t="shared" ref="L98" si="89">L82-L114</f>
        <v>0.26560342095172063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1.0305188402777066E-5</v>
      </c>
      <c r="L99" s="1">
        <f t="shared" ref="L99" si="91">L83-L115</f>
        <v>2.3363398617257357E-3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5.7590090275153315E-6</v>
      </c>
      <c r="L100" s="1">
        <f t="shared" ref="L100" si="93">L84-L116</f>
        <v>1.658329845987298E-2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0.94155540022025275</v>
      </c>
      <c r="G102" s="1">
        <f t="shared" si="96"/>
        <v>1.8647433550106538E-2</v>
      </c>
      <c r="H102" s="1">
        <f t="shared" si="96"/>
        <v>7.553805570764463E-2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0.65330764440733824</v>
      </c>
      <c r="G104" s="1">
        <f t="shared" si="100"/>
        <v>0.20904469970570186</v>
      </c>
      <c r="H104" s="1">
        <f t="shared" si="100"/>
        <v>0.44864279274247154</v>
      </c>
      <c r="I104" s="1">
        <f t="shared" si="100"/>
        <v>4.6497783666155007E-2</v>
      </c>
      <c r="J104" s="1">
        <f t="shared" si="100"/>
        <v>0.54616429485379547</v>
      </c>
      <c r="K104" s="1">
        <f t="shared" si="100"/>
        <v>8.3798300508426071E-2</v>
      </c>
      <c r="L104" s="1">
        <f t="shared" ref="L104" si="101">L88-L120</f>
        <v>0.15607339804586712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4.8127702771574229E-2</v>
      </c>
      <c r="L105" s="1">
        <f t="shared" ref="L105" si="103">L89-L121</f>
        <v>9.0247265965322926E-2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3.8025798849266636E-3</v>
      </c>
      <c r="K106" s="1">
        <f t="shared" si="104"/>
        <v>2.9335822791069174E-3</v>
      </c>
      <c r="L106" s="1">
        <f t="shared" ref="L106" si="105">L90-L122</f>
        <v>3.6311861893177015E-4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3.8654559066519635E-2</v>
      </c>
      <c r="G107" s="1">
        <f t="shared" si="106"/>
        <v>1.1595670681923598E-2</v>
      </c>
      <c r="H107" s="1">
        <f t="shared" si="106"/>
        <v>1.6692422900791072E-2</v>
      </c>
      <c r="I107" s="1">
        <f t="shared" si="106"/>
        <v>0</v>
      </c>
      <c r="J107" s="1">
        <f t="shared" si="106"/>
        <v>5.7297616482236639E-3</v>
      </c>
      <c r="K107" s="1">
        <f t="shared" si="106"/>
        <v>1.5591197886324123E-3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5.1338848929966818E-2</v>
      </c>
      <c r="G109" s="1">
        <f t="shared" si="110"/>
        <v>1.5882860783466686E-2</v>
      </c>
      <c r="H109" s="1">
        <f t="shared" si="110"/>
        <v>3.6646794806768003E-2</v>
      </c>
      <c r="I109" s="1">
        <f t="shared" si="110"/>
        <v>0</v>
      </c>
      <c r="J109" s="1">
        <f t="shared" si="110"/>
        <v>2.1161957057871508E-2</v>
      </c>
      <c r="K109" s="1">
        <f t="shared" si="110"/>
        <v>3.2732020581014258E-3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0.5796357432541015</v>
      </c>
      <c r="G112" s="1">
        <f t="shared" si="116"/>
        <v>0.60499198033161239</v>
      </c>
      <c r="H112" s="1">
        <f t="shared" si="116"/>
        <v>0.50843820192560241</v>
      </c>
      <c r="I112" s="1">
        <f t="shared" si="116"/>
        <v>0</v>
      </c>
      <c r="J112" s="1">
        <f t="shared" si="116"/>
        <v>7.2912912106882491E-3</v>
      </c>
      <c r="K112" s="1">
        <f t="shared" si="116"/>
        <v>9.6736766929129004E-4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1.0180664618998765</v>
      </c>
      <c r="G114" s="1">
        <f t="shared" ref="G114:K114" si="120">SUM(G115:G129)</f>
        <v>1.1372180930894089</v>
      </c>
      <c r="H114" s="1">
        <f t="shared" si="120"/>
        <v>1.1684184415159853</v>
      </c>
      <c r="I114" s="1">
        <f t="shared" si="120"/>
        <v>1.1121375970872134</v>
      </c>
      <c r="J114" s="1">
        <f t="shared" si="120"/>
        <v>1.2334416836620388</v>
      </c>
      <c r="K114" s="1">
        <f t="shared" si="120"/>
        <v>1.2013176646227504</v>
      </c>
      <c r="L114" s="1">
        <f t="shared" ref="L114" si="121">SUM(L115:L129)</f>
        <v>1.5618241820174705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6.9828083554738457E-6</v>
      </c>
      <c r="L115" s="1">
        <f>'[2]Electricity and CHPs_IN'!R$23/SUM('[2]Electricity and CHPs_IN'!R$22:R$23)*L83</f>
        <v>4.0096167197844123E-3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3.902311610891693E-6</v>
      </c>
      <c r="L116" s="1">
        <f>'[2]Electricity and CHPs_IN'!R$23/SUM('[2]Electricity and CHPs_IN'!R$22:R$23)*L84</f>
        <v>2.8460187605054619E-2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2.4376516909798186E-2</v>
      </c>
      <c r="G118" s="1">
        <f>'[1]Electricity and CHPs_IN'!M$23/SUM('[1]Electricity and CHPs_IN'!M$22:M$23)*G86</f>
        <v>6.6732897008762722E-4</v>
      </c>
      <c r="H118" s="1">
        <f>'[1]Electricity and CHPs_IN'!N$23/SUM('[1]Electricity and CHPs_IN'!N$22:N$23)*H86</f>
        <v>4.313407090308914E-3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1.6913890396115374E-2</v>
      </c>
      <c r="G120" s="1">
        <f>'[1]Electricity and CHPs_IN'!M$23/SUM('[1]Electricity and CHPs_IN'!M$22:M$23)*G88</f>
        <v>7.4810071735628364E-3</v>
      </c>
      <c r="H120" s="1">
        <f>'[1]Electricity and CHPs_IN'!N$23/SUM('[1]Electricity and CHPs_IN'!N$22:N$23)*H88</f>
        <v>2.5618596945638943E-2</v>
      </c>
      <c r="I120" s="1">
        <f>'[1]Electricity and CHPs_IN'!O$23/SUM('[1]Electricity and CHPs_IN'!O$22:O$23)*I88</f>
        <v>5.3133363411399358E-3</v>
      </c>
      <c r="J120" s="1">
        <f>'[2]Electricity and CHPs_IN'!P$23/SUM('[2]Electricity and CHPs_IN'!P$22:P$23)*J88</f>
        <v>0.11915569651799458</v>
      </c>
      <c r="K120" s="1">
        <f>'[2]Electricity and CHPs_IN'!Q$23/SUM('[2]Electricity and CHPs_IN'!Q$22:Q$23)*K88</f>
        <v>5.6781831645800758E-2</v>
      </c>
      <c r="L120" s="1">
        <f>'[2]Electricity and CHPs_IN'!R$23/SUM('[2]Electricity and CHPs_IN'!R$22:R$23)*L88</f>
        <v>0.26785251434097179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3.2611390680887142E-2</v>
      </c>
      <c r="L121" s="1">
        <f>'[2]Electricity and CHPs_IN'!R$23/SUM('[2]Electricity and CHPs_IN'!R$22:R$23)*L89</f>
        <v>0.15488198119519489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8.2960211610875047E-4</v>
      </c>
      <c r="K122" s="1">
        <f>'[2]Electricity and CHPs_IN'!Q$23/SUM('[2]Electricity and CHPs_IN'!Q$22:Q$23)*K90</f>
        <v>1.9877989658585514E-3</v>
      </c>
      <c r="L122" s="1">
        <f>'[2]Electricity and CHPs_IN'!R$23/SUM('[2]Electricity and CHPs_IN'!R$22:R$23)*L90</f>
        <v>6.2318265830485888E-4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1.0007520667455047E-3</v>
      </c>
      <c r="G123" s="1">
        <f>'[1]Electricity and CHPs_IN'!M$23/SUM('[1]Electricity and CHPs_IN'!M$22:M$23)*G91</f>
        <v>4.1497007901117626E-4</v>
      </c>
      <c r="H123" s="1">
        <f>'[1]Electricity and CHPs_IN'!N$23/SUM('[1]Electricity and CHPs_IN'!N$22:N$23)*H91</f>
        <v>9.5317803218782592E-4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1.2500519468394515E-3</v>
      </c>
      <c r="K123" s="1">
        <f>'[2]Electricity and CHPs_IN'!Q$23/SUM('[2]Electricity and CHPs_IN'!Q$22:Q$23)*K91</f>
        <v>1.0564614892740014E-3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1.3291435838806332E-3</v>
      </c>
      <c r="G125" s="1">
        <f>'[1]Electricity and CHPs_IN'!M$23/SUM('[1]Electricity and CHPs_IN'!M$22:M$23)*G93</f>
        <v>5.6839420289101568E-4</v>
      </c>
      <c r="H125" s="1">
        <f>'[1]Electricity and CHPs_IN'!N$23/SUM('[1]Electricity and CHPs_IN'!N$22:N$23)*H93</f>
        <v>2.092621302941633E-3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4.6168666767013346E-3</v>
      </c>
      <c r="K125" s="1">
        <f>'[2]Electricity and CHPs_IN'!Q$23/SUM('[2]Electricity and CHPs_IN'!Q$22:Q$23)*K93</f>
        <v>2.2179257464429759E-3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0.95943960649442961</v>
      </c>
      <c r="G127" s="1">
        <f t="shared" si="123"/>
        <v>1.1064357631516968</v>
      </c>
      <c r="H127" s="1">
        <f t="shared" si="123"/>
        <v>1.1064075775951663</v>
      </c>
      <c r="I127" s="1">
        <f t="shared" si="123"/>
        <v>1.1068242607460734</v>
      </c>
      <c r="J127" s="1">
        <f t="shared" si="123"/>
        <v>1.1059987383196199</v>
      </c>
      <c r="K127" s="1">
        <f t="shared" si="123"/>
        <v>1.105995881450222</v>
      </c>
      <c r="L127" s="1">
        <f t="shared" ref="L127" si="124">L95</f>
        <v>1.10599669949816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1.5006552448907215E-2</v>
      </c>
      <c r="G128" s="1">
        <f>'[1]Electricity and CHPs_IN'!M$23/SUM('[1]Electricity and CHPs_IN'!M$22:M$23)*G96</f>
        <v>2.1650629512159451E-2</v>
      </c>
      <c r="H128" s="1">
        <f>'[1]Electricity and CHPs_IN'!N$23/SUM('[1]Electricity and CHPs_IN'!N$22:N$23)*H96</f>
        <v>2.9033060549741706E-2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1.5907280847746773E-3</v>
      </c>
      <c r="K128" s="1">
        <f>'[2]Electricity and CHPs_IN'!Q$23/SUM('[2]Electricity and CHPs_IN'!Q$22:Q$23)*K96</f>
        <v>6.55489524298473E-4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8.2847209097024663</v>
      </c>
      <c r="G130" s="1">
        <f t="shared" ref="G130:K130" si="125">SUM(G131:G136)</f>
        <v>8.9820322652398144</v>
      </c>
      <c r="H130" s="1">
        <f t="shared" si="125"/>
        <v>9.7277789485674226</v>
      </c>
      <c r="I130" s="1">
        <f t="shared" si="125"/>
        <v>9.2792435410216623</v>
      </c>
      <c r="J130" s="1">
        <f t="shared" si="125"/>
        <v>8.9278634486909176</v>
      </c>
      <c r="K130" s="1">
        <f t="shared" si="125"/>
        <v>10.026020240232278</v>
      </c>
      <c r="L130" s="1">
        <f t="shared" ref="L130" si="126">SUM(L131:L136)</f>
        <v>11.346872272794068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6.507014407313485</v>
      </c>
      <c r="G131" s="1">
        <f>'[1]Electricity and CHPs'!C19</f>
        <v>7.3098093015021393</v>
      </c>
      <c r="H131" s="1">
        <f>'[1]Electricity and CHPs'!D19</f>
        <v>8.3571361255006948</v>
      </c>
      <c r="I131" s="1">
        <f>'[1]Electricity and CHPs'!E19</f>
        <v>7.7711274439721532</v>
      </c>
      <c r="J131" s="1">
        <f>'[2]Electricity and CHPs'!F19</f>
        <v>7.4918634968652693</v>
      </c>
      <c r="K131" s="1">
        <f>'[2]Electricity and CHPs'!G19</f>
        <v>5.685049560882022</v>
      </c>
      <c r="L131" s="1">
        <f>'[2]Electricity and CHPs'!H19</f>
        <v>3.5005416907805571E-3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2.6049062328870041</v>
      </c>
      <c r="L132" s="1">
        <f>'[2]Electricity and CHPs'!H20</f>
        <v>9.3303203370739478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1.5475618152654813</v>
      </c>
      <c r="G133" s="1">
        <f>'[1]Electricity and CHPs'!C26</f>
        <v>1.4286404573739921</v>
      </c>
      <c r="H133" s="1">
        <f>'[1]Electricity and CHPs'!D26</f>
        <v>1.3579177780170089</v>
      </c>
      <c r="I133" s="1">
        <f>'[1]Electricity and CHPs'!E26</f>
        <v>1.4936473504932808</v>
      </c>
      <c r="J133" s="1">
        <f>'[2]Electricity and CHPs'!F26</f>
        <v>1.4332895640461274</v>
      </c>
      <c r="K133" s="1">
        <f>'[2]Electricity and CHPs'!G26</f>
        <v>1.1191223257152119</v>
      </c>
      <c r="L133" s="1">
        <f>'[2]Electricity and CHPs'!H26</f>
        <v>0.19728246474610134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0.43573305724004935</v>
      </c>
      <c r="L134" s="1">
        <f>'[2]Electricity and CHPs'!H27</f>
        <v>1.4943036488637726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0.23014468712349984</v>
      </c>
      <c r="G135" s="1">
        <f>'[1]Electricity and CHPs'!C44</f>
        <v>0.24358250636368389</v>
      </c>
      <c r="H135" s="1">
        <f>'[1]Electricity and CHPs'!D44</f>
        <v>1.2725045049717524E-2</v>
      </c>
      <c r="I135" s="1">
        <f>'[1]Electricity and CHPs'!E44</f>
        <v>1.446874655622681E-2</v>
      </c>
      <c r="J135" s="1">
        <f>'[2]Electricity and CHPs'!F44</f>
        <v>2.7103877795210717E-3</v>
      </c>
      <c r="K135" s="1">
        <f>'[2]Electricity and CHPs'!G44</f>
        <v>1.4064233092216918E-3</v>
      </c>
      <c r="L135" s="1">
        <f>'[2]Electricity and CHPs'!H44</f>
        <v>2.7341503051753966E-4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0.17980264019876752</v>
      </c>
      <c r="L136" s="1">
        <f>'[2]Electricity and CHPs'!H45</f>
        <v>0.32119186538894923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4.0272881112894838</v>
      </c>
      <c r="G137" s="1">
        <f t="shared" ref="G137:K137" si="128">SUM(G138:G141)</f>
        <v>4.3692248794380655</v>
      </c>
      <c r="H137" s="1">
        <f t="shared" si="128"/>
        <v>4.8575269517588522</v>
      </c>
      <c r="I137" s="1">
        <f t="shared" si="128"/>
        <v>4.6323873972327174</v>
      </c>
      <c r="J137" s="1">
        <f t="shared" si="128"/>
        <v>4.4625765304556984</v>
      </c>
      <c r="K137" s="1">
        <f t="shared" si="128"/>
        <v>4.9224055883621434</v>
      </c>
      <c r="L137" s="1">
        <f t="shared" ref="L137" si="129">SUM(L138:L141)</f>
        <v>5.5127034961873012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3.253507203656743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3.6549046507510692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4.1785680627503474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3.8855637219860766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3.7459317484326347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2.842524780441011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1.7502708453902786E-3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1.3024531164435018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4.6651601685369739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0.77378090763274066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0.71432022868699607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0.67895888900850443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0.74682367524664039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0.7166447820230637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0.55956116285760593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9.8641232373050669E-2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0.21786652862002467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0.74715182443188644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4.2574327984129825</v>
      </c>
      <c r="G144" s="1">
        <f t="shared" ref="G144:K144" si="130">SUM(G145:G150)</f>
        <v>4.6128073858017506</v>
      </c>
      <c r="H144" s="1">
        <f t="shared" si="130"/>
        <v>4.8702519968085696</v>
      </c>
      <c r="I144" s="1">
        <f t="shared" si="130"/>
        <v>4.646856143788944</v>
      </c>
      <c r="J144" s="1">
        <f t="shared" si="130"/>
        <v>4.4652869182352193</v>
      </c>
      <c r="K144" s="1">
        <f t="shared" si="130"/>
        <v>5.1036146518701333</v>
      </c>
      <c r="L144" s="1">
        <f t="shared" ref="L144" si="131">SUM(L145:L150)</f>
        <v>5.8341687766067674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3.2535072036567421</v>
      </c>
      <c r="G145" s="1">
        <f t="shared" ref="G145:K145" si="132">G131-G138</f>
        <v>3.6549046507510701</v>
      </c>
      <c r="H145" s="1">
        <f t="shared" si="132"/>
        <v>4.1785680627503474</v>
      </c>
      <c r="I145" s="1">
        <f t="shared" si="132"/>
        <v>3.8855637219860766</v>
      </c>
      <c r="J145" s="1">
        <f t="shared" si="132"/>
        <v>3.7459317484326347</v>
      </c>
      <c r="K145" s="1">
        <f t="shared" si="132"/>
        <v>2.842524780441011</v>
      </c>
      <c r="L145" s="1">
        <f t="shared" ref="L145" si="133">L131-L138</f>
        <v>1.7502708453902786E-3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1.3024531164435023</v>
      </c>
      <c r="L146" s="1">
        <f t="shared" ref="L146" si="135">L132-L139</f>
        <v>4.6651601685369739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0.77378090763274066</v>
      </c>
      <c r="G147" s="1">
        <f t="shared" si="136"/>
        <v>0.71432022868699607</v>
      </c>
      <c r="H147" s="1">
        <f t="shared" si="136"/>
        <v>0.67895888900850443</v>
      </c>
      <c r="I147" s="1">
        <f t="shared" si="136"/>
        <v>0.74682367524664039</v>
      </c>
      <c r="J147" s="1">
        <f t="shared" si="136"/>
        <v>0.7166447820230637</v>
      </c>
      <c r="K147" s="1">
        <f t="shared" si="136"/>
        <v>0.55956116285760593</v>
      </c>
      <c r="L147" s="1">
        <f t="shared" ref="L147" si="137">L133-L140</f>
        <v>9.8641232373050669E-2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0.21786652862002467</v>
      </c>
      <c r="L148" s="1">
        <f t="shared" ref="L148" si="139">L134-L141</f>
        <v>0.74715182443188621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0.23014468712349984</v>
      </c>
      <c r="G149" s="1">
        <f t="shared" si="140"/>
        <v>0.24358250636368389</v>
      </c>
      <c r="H149" s="1">
        <f t="shared" si="140"/>
        <v>1.2725045049717524E-2</v>
      </c>
      <c r="I149" s="1">
        <f t="shared" si="140"/>
        <v>1.446874655622681E-2</v>
      </c>
      <c r="J149" s="1">
        <f t="shared" si="140"/>
        <v>2.7103877795210717E-3</v>
      </c>
      <c r="K149" s="1">
        <f t="shared" si="140"/>
        <v>1.4064233092216918E-3</v>
      </c>
      <c r="L149" s="1">
        <f t="shared" ref="L149" si="141">L135-L142</f>
        <v>2.7341503051753966E-4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0.17980264019876752</v>
      </c>
      <c r="L150" s="1">
        <f t="shared" ref="L150" si="146">L136-L143</f>
        <v>0.32119186538894923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0.17606907070598382</v>
      </c>
      <c r="G151" s="1">
        <f t="shared" ref="G151:K151" si="147">SUM(G152:G158)</f>
        <v>0.40967565430836023</v>
      </c>
      <c r="H151" s="1">
        <f t="shared" si="147"/>
        <v>1.2594549440972029</v>
      </c>
      <c r="I151" s="1">
        <f t="shared" si="147"/>
        <v>2.5999251526287721</v>
      </c>
      <c r="J151" s="1">
        <f t="shared" si="147"/>
        <v>3.8700439716545878</v>
      </c>
      <c r="K151" s="1">
        <f t="shared" si="147"/>
        <v>4.6259488375422526</v>
      </c>
      <c r="L151" s="1">
        <f t="shared" ref="L151" si="148">SUM(L152:L158)</f>
        <v>5.9704450955817698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3.5079983935050367E-3</v>
      </c>
      <c r="G152" s="1">
        <f>'[1]Electricity and CHPs'!C25</f>
        <v>6.9941105787251099E-3</v>
      </c>
      <c r="H152" s="1">
        <f>'[1]Electricity and CHPs'!D25</f>
        <v>8.7588826730875084E-3</v>
      </c>
      <c r="I152" s="1">
        <f>'[1]Electricity and CHPs'!E25</f>
        <v>5.6067726834903492E-2</v>
      </c>
      <c r="J152" s="1">
        <f>'[2]Electricity and CHPs'!F25</f>
        <v>0.75378471091853627</v>
      </c>
      <c r="K152" s="1">
        <f>'[2]Electricity and CHPs'!G25</f>
        <v>1.0348752036717708</v>
      </c>
      <c r="L152" s="1">
        <f>'[2]Electricity and CHPs'!H25</f>
        <v>1.2187188816545365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1.8991570426643055E-3</v>
      </c>
      <c r="L153" s="1">
        <f>'[2]Electricity and CHPs'!H31</f>
        <v>0.99986415934573714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0.17256107231247877</v>
      </c>
      <c r="G154" s="1">
        <f>'[1]Electricity and CHPs'!C42</f>
        <v>0.40268154372963511</v>
      </c>
      <c r="H154" s="1">
        <f>'[1]Electricity and CHPs'!D42</f>
        <v>1.2506960614241154</v>
      </c>
      <c r="I154" s="1">
        <f>'[1]Electricity and CHPs'!E42</f>
        <v>2.5438574257938686</v>
      </c>
      <c r="J154" s="1">
        <f>'[2]Electricity and CHPs'!F42</f>
        <v>2.7529153085703624</v>
      </c>
      <c r="K154" s="1">
        <f>'[2]Electricity and CHPs'!G42</f>
        <v>2.5474836910773058</v>
      </c>
      <c r="L154" s="1">
        <f>'[2]Electricity and CHPs'!H42</f>
        <v>2.2791571910719743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0.27926816918130398</v>
      </c>
      <c r="L155" s="1">
        <f>'[2]Electricity and CHPs'!H43</f>
        <v>1.1732316047506992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6.8605135650103028E-3</v>
      </c>
      <c r="K156" s="1">
        <f>'[2]Electricity and CHPs'!G50</f>
        <v>7.2830297201891998E-3</v>
      </c>
      <c r="L156" s="1">
        <f>'[2]Electricity and CHPs'!H50</f>
        <v>2.7673502291789276E-3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0.35255756634486213</v>
      </c>
      <c r="K157" s="1">
        <f>'[2]Electricity and CHPs'!G53</f>
        <v>0.75302773420261815</v>
      </c>
      <c r="L157" s="1">
        <f>'[2]Electricity and CHPs'!H53</f>
        <v>0.29588017574834169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3.9258722558165758E-3</v>
      </c>
      <c r="K158" s="1">
        <f>'[2]Electricity and CHPs'!G56</f>
        <v>2.1118526464001842E-3</v>
      </c>
      <c r="L158" s="1">
        <f>'[2]Electricity and CHPs'!H56</f>
        <v>8.2573278130341002E-4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0.54530775595618142</v>
      </c>
      <c r="H159" s="1">
        <f t="shared" si="149"/>
        <v>0.50318035428973074</v>
      </c>
      <c r="I159" s="1">
        <f t="shared" si="149"/>
        <v>2.0503052471689203</v>
      </c>
      <c r="J159" s="1">
        <f t="shared" si="149"/>
        <v>3.6359078303036996</v>
      </c>
      <c r="K159" s="1">
        <f t="shared" si="149"/>
        <v>7.1993529207808624</v>
      </c>
      <c r="L159" s="1">
        <f t="shared" si="149"/>
        <v>21.925692576183096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0.54530775595618142</v>
      </c>
      <c r="H160" s="1">
        <f>'[1]Electricity and CHPs'!D33</f>
        <v>0.50318035428973074</v>
      </c>
      <c r="I160" s="1">
        <f>'[1]Electricity and CHPs'!E33</f>
        <v>2.0503052471689203</v>
      </c>
      <c r="J160" s="1">
        <f>'[2]Electricity and CHPs'!F33</f>
        <v>3.6359078303036996</v>
      </c>
      <c r="K160" s="1">
        <f>'[2]Electricity and CHPs'!G33</f>
        <v>7.1993529207808624</v>
      </c>
      <c r="L160" s="1">
        <f>'[2]Electricity and CHPs'!H33</f>
        <v>21.925692576183096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12.823119108238448</v>
      </c>
      <c r="H161" s="1">
        <f t="shared" si="150"/>
        <v>28.80018917143267</v>
      </c>
      <c r="I161" s="1">
        <f t="shared" si="150"/>
        <v>52.309468048653898</v>
      </c>
      <c r="J161" s="1">
        <f t="shared" si="150"/>
        <v>59.183354891256577</v>
      </c>
      <c r="K161" s="1">
        <f t="shared" si="150"/>
        <v>130.06461258173948</v>
      </c>
      <c r="L161" s="1">
        <f t="shared" ref="L161" si="151">SUM(L162:L166)</f>
        <v>148.55822205348213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0.14061592372971998</v>
      </c>
      <c r="I162" s="1">
        <f>'[1]Electricity and CHPs'!E34</f>
        <v>0.57957701760343749</v>
      </c>
      <c r="J162" s="1">
        <f>'[2]Electricity and CHPs'!F34</f>
        <v>2.1017921774747581</v>
      </c>
      <c r="K162" s="1">
        <f>'[2]Electricity and CHPs'!G34</f>
        <v>20.807704349513344</v>
      </c>
      <c r="L162" s="1">
        <f>'[2]Electricity and CHPs'!H34</f>
        <v>27.762573350384329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4.8486281142671022</v>
      </c>
      <c r="H163" s="1">
        <f>'[1]Electricity and CHPs'!D35</f>
        <v>11.161305651766572</v>
      </c>
      <c r="I163" s="1">
        <f>'[1]Electricity and CHPs'!E35</f>
        <v>19.477151131911679</v>
      </c>
      <c r="J163" s="1">
        <f>'[2]Electricity and CHPs'!F35</f>
        <v>22.482467503971549</v>
      </c>
      <c r="K163" s="1">
        <f>'[2]Electricity and CHPs'!G35</f>
        <v>40.847642199504989</v>
      </c>
      <c r="L163" s="1">
        <f>'[2]Electricity and CHPs'!H35</f>
        <v>45.121216578743599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3.3914827647697323</v>
      </c>
      <c r="H164" s="1">
        <f>'[1]Electricity and CHPs'!D36</f>
        <v>4.6620329377745984</v>
      </c>
      <c r="I164" s="1">
        <f>'[1]Electricity and CHPs'!E36</f>
        <v>11.187020787587855</v>
      </c>
      <c r="J164" s="1">
        <f>'[2]Electricity and CHPs'!F36</f>
        <v>11.802083835542931</v>
      </c>
      <c r="K164" s="1">
        <f>'[2]Electricity and CHPs'!G36</f>
        <v>12.452302987105362</v>
      </c>
      <c r="L164" s="1">
        <f>'[2]Electricity and CHPs'!H36</f>
        <v>13.863122449251357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1.2885477144662159</v>
      </c>
      <c r="H165" s="1">
        <f>'[1]Electricity and CHPs'!D37</f>
        <v>2.869986314729239</v>
      </c>
      <c r="I165" s="1">
        <f>'[1]Electricity and CHPs'!E37</f>
        <v>3.1633710222567237</v>
      </c>
      <c r="J165" s="1">
        <f>'[2]Electricity and CHPs'!F37</f>
        <v>3.9814351276249642</v>
      </c>
      <c r="K165" s="1">
        <f>'[2]Electricity and CHPs'!G37</f>
        <v>15.480090646145115</v>
      </c>
      <c r="L165" s="1">
        <f>'[2]Electricity and CHPs'!H37</f>
        <v>17.099656928443352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3.2944605147353974</v>
      </c>
      <c r="H166" s="1">
        <f>'[1]Electricity and CHPs'!D38</f>
        <v>9.9662483434325413</v>
      </c>
      <c r="I166" s="1">
        <f>'[1]Electricity and CHPs'!E38</f>
        <v>17.9023480892942</v>
      </c>
      <c r="J166" s="1">
        <f>'[2]Electricity and CHPs'!F38</f>
        <v>18.815576246642379</v>
      </c>
      <c r="K166" s="1">
        <f>'[2]Electricity and CHPs'!G38</f>
        <v>40.476872399470693</v>
      </c>
      <c r="L166" s="1">
        <f>'[2]Electricity and CHPs'!H38</f>
        <v>44.711652746659489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4.828731617635685E-2</v>
      </c>
      <c r="L167" s="1">
        <f>'[2]Electricity and CHPs'!H32</f>
        <v>1.3516476520411631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4.828731617635685E-2</v>
      </c>
      <c r="L168" s="1">
        <f t="shared" ref="L168" si="156">L167</f>
        <v>1.3516476520411631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4.153084339351247E-2</v>
      </c>
      <c r="J169" s="1">
        <f t="shared" si="157"/>
        <v>2.1495029646269127E-2</v>
      </c>
      <c r="K169" s="1">
        <f t="shared" si="157"/>
        <v>0.17126567938732387</v>
      </c>
      <c r="L169" s="1">
        <f t="shared" ref="L169" si="158">SUM(L170:L172)</f>
        <v>0.57916486255705002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6.9712515706371932E-3</v>
      </c>
      <c r="L170" s="1">
        <f>'[2]Electricity and CHPs'!H30</f>
        <v>0.35288777399785165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1.4092050031329552E-2</v>
      </c>
      <c r="K171" s="1">
        <f>'[2]Electricity and CHPs'!G46</f>
        <v>0.1536474462751766</v>
      </c>
      <c r="L171" s="1">
        <f>'[2]Electricity and CHPs'!H46</f>
        <v>0.21224712314715927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4.153084339351247E-2</v>
      </c>
      <c r="J172" s="1">
        <f>'[2]Electricity and CHPs'!F57</f>
        <v>7.4029796149395763E-3</v>
      </c>
      <c r="K172" s="1">
        <f>'[2]Electricity and CHPs'!G57</f>
        <v>1.0646981541510085E-2</v>
      </c>
      <c r="L172" s="1">
        <f>'[2]Electricity and CHPs'!H57</f>
        <v>1.4029965412039075E-2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0.37851332746090666</v>
      </c>
      <c r="G173" s="1">
        <f t="shared" ref="G173:K173" si="160">SUM(G174:G180)</f>
        <v>0.31251024648786618</v>
      </c>
      <c r="H173" s="1">
        <f t="shared" si="160"/>
        <v>0.88174435354221603</v>
      </c>
      <c r="I173" s="1">
        <f t="shared" si="160"/>
        <v>2.1107445865699437</v>
      </c>
      <c r="J173" s="1">
        <f t="shared" si="160"/>
        <v>1.8134596996627423</v>
      </c>
      <c r="K173" s="1">
        <f t="shared" si="160"/>
        <v>3.9253133000463758</v>
      </c>
      <c r="L173" s="1">
        <f t="shared" ref="L173" si="161">SUM(L174:L180)</f>
        <v>7.3352689082011358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9.9717135625453548E-2</v>
      </c>
      <c r="G174" s="1">
        <f>'[1]Electricity and CHPs'!C70</f>
        <v>4.6896170324756133E-2</v>
      </c>
      <c r="H174" s="1">
        <f>'[1]Electricity and CHPs'!D70</f>
        <v>6.7124356785342967E-2</v>
      </c>
      <c r="I174" s="1">
        <f>'[1]Electricity and CHPs'!E70</f>
        <v>9.463092686678605E-2</v>
      </c>
      <c r="J174" s="1">
        <f>'[2]Electricity and CHPs'!F70</f>
        <v>3.5669839720248217E-2</v>
      </c>
      <c r="K174" s="1">
        <f>'[2]Electricity and CHPs'!G70</f>
        <v>2.0355486723201314E-2</v>
      </c>
      <c r="L174" s="1">
        <f>'[2]Electricity and CHPs'!H70</f>
        <v>9.4414769627117617E-2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6.5281552500512124E-2</v>
      </c>
      <c r="G175" s="1">
        <f>'[1]Electricity and CHPs'!C71</f>
        <v>6.1819133058506948E-2</v>
      </c>
      <c r="H175" s="1">
        <f>'[1]Electricity and CHPs'!D71</f>
        <v>6.3527400894878738E-2</v>
      </c>
      <c r="I175" s="1">
        <f>'[1]Electricity and CHPs'!E71</f>
        <v>0.18716294914312429</v>
      </c>
      <c r="J175" s="1">
        <f>'[2]Electricity and CHPs'!F71</f>
        <v>0.16429434296466339</v>
      </c>
      <c r="K175" s="1">
        <f>'[2]Electricity and CHPs'!G71</f>
        <v>1.5500039966511421</v>
      </c>
      <c r="L175" s="1">
        <f>'[2]Electricity and CHPs'!H71</f>
        <v>2.553169459566154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6.6159788967022293E-2</v>
      </c>
      <c r="G176" s="1">
        <f>'[1]Electricity and CHPs'!C72</f>
        <v>5.603376658909813E-2</v>
      </c>
      <c r="H176" s="1">
        <f>'[1]Electricity and CHPs'!D72</f>
        <v>5.776570356781402E-2</v>
      </c>
      <c r="I176" s="1">
        <f>'[1]Electricity and CHPs'!E72</f>
        <v>0.12783120503251952</v>
      </c>
      <c r="J176" s="1">
        <f>'[2]Electricity and CHPs'!F72</f>
        <v>0.11942236022249948</v>
      </c>
      <c r="K176" s="1">
        <f>'[2]Electricity and CHPs'!G72</f>
        <v>0.57095641657651652</v>
      </c>
      <c r="L176" s="1">
        <f>'[2]Electricity and CHPs'!H72</f>
        <v>2.2552794725689242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2.4299972021673343E-2</v>
      </c>
      <c r="G177" s="1">
        <f>'[1]Electricity and CHPs'!C73</f>
        <v>2.4394370907758912E-2</v>
      </c>
      <c r="H177" s="1">
        <f>'[1]Electricity and CHPs'!D73</f>
        <v>0.13167801759902142</v>
      </c>
      <c r="I177" s="1">
        <f>'[1]Electricity and CHPs'!E73</f>
        <v>0.28044231849520646</v>
      </c>
      <c r="J177" s="1">
        <f>'[2]Electricity and CHPs'!F73</f>
        <v>0.27474063144710542</v>
      </c>
      <c r="K177" s="1">
        <f>'[2]Electricity and CHPs'!G73</f>
        <v>0.32782091059063434</v>
      </c>
      <c r="L177" s="1">
        <f>'[2]Electricity and CHPs'!H73</f>
        <v>0.43571834818652772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5.1266319642339492E-2</v>
      </c>
      <c r="G178" s="1">
        <f>'[1]Electricity and CHPs'!C74</f>
        <v>5.1392459042663659E-2</v>
      </c>
      <c r="H178" s="1">
        <f>'[1]Electricity and CHPs'!D74</f>
        <v>0.28596347365523234</v>
      </c>
      <c r="I178" s="1">
        <f>'[1]Electricity and CHPs'!E74</f>
        <v>0.81663865986003947</v>
      </c>
      <c r="J178" s="1">
        <f>'[2]Electricity and CHPs'!F74</f>
        <v>0.67814398548631671</v>
      </c>
      <c r="K178" s="1">
        <f>'[2]Electricity and CHPs'!G74</f>
        <v>0.51218193384269328</v>
      </c>
      <c r="L178" s="1">
        <f>'[2]Electricity and CHPs'!H74</f>
        <v>0.70370413872867155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4.6514744505135805E-2</v>
      </c>
      <c r="G179" s="1">
        <f>'[1]Electricity and CHPs'!C75</f>
        <v>4.6633373971838789E-2</v>
      </c>
      <c r="H179" s="1">
        <f>'[1]Electricity and CHPs'!D75</f>
        <v>8.9337674316246021E-2</v>
      </c>
      <c r="I179" s="1">
        <f>'[1]Electricity and CHPs'!E75</f>
        <v>9.1715330631372854E-2</v>
      </c>
      <c r="J179" s="1">
        <f>'[2]Electricity and CHPs'!F75</f>
        <v>0.10090640168918727</v>
      </c>
      <c r="K179" s="1">
        <f>'[2]Electricity and CHPs'!G75</f>
        <v>0.25302554221364348</v>
      </c>
      <c r="L179" s="1">
        <f>'[2]Electricity and CHPs'!H75</f>
        <v>0.36054399240823709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2.527381419877003E-2</v>
      </c>
      <c r="G180" s="1">
        <f>'[1]Electricity and CHPs'!C76</f>
        <v>2.5340972593243589E-2</v>
      </c>
      <c r="H180" s="1">
        <f>'[1]Electricity and CHPs'!D76</f>
        <v>0.18634772672368052</v>
      </c>
      <c r="I180" s="1">
        <f>'[1]Electricity and CHPs'!E76</f>
        <v>0.51232319654089487</v>
      </c>
      <c r="J180" s="1">
        <f>'[2]Electricity and CHPs'!F76</f>
        <v>0.44028213813272188</v>
      </c>
      <c r="K180" s="1">
        <f>'[2]Electricity and CHPs'!G76</f>
        <v>0.69096901344854433</v>
      </c>
      <c r="L180" s="1">
        <f>'[2]Electricity and CHPs'!H76</f>
        <v>0.93243872711550324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31.268150691627906</v>
      </c>
      <c r="G181" s="3">
        <f t="shared" ref="G181:K181" si="162">SUM(G182,G233)</f>
        <v>37.364487419428727</v>
      </c>
      <c r="H181" s="3">
        <f t="shared" si="162"/>
        <v>35.683794594032136</v>
      </c>
      <c r="I181" s="3">
        <f t="shared" si="162"/>
        <v>38.000250015398784</v>
      </c>
      <c r="J181" s="3">
        <f t="shared" si="162"/>
        <v>39.913790199934006</v>
      </c>
      <c r="K181" s="3">
        <f t="shared" si="162"/>
        <v>40.660083648195013</v>
      </c>
      <c r="L181" s="3">
        <f t="shared" ref="L181" si="163">SUM(L182,L233)</f>
        <v>44.223889132628209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24.50972168360876</v>
      </c>
      <c r="G182" s="1">
        <f t="shared" si="164"/>
        <v>29.341363890934055</v>
      </c>
      <c r="H182" s="1">
        <f t="shared" si="164"/>
        <v>27.745309528849006</v>
      </c>
      <c r="I182" s="1">
        <f t="shared" si="164"/>
        <v>29.864063287268948</v>
      </c>
      <c r="J182" s="1">
        <f t="shared" si="164"/>
        <v>29.954266747800688</v>
      </c>
      <c r="K182" s="1">
        <f t="shared" si="164"/>
        <v>30.36026710170902</v>
      </c>
      <c r="L182" s="1">
        <f t="shared" ref="L182" si="165">L183+L210</f>
        <v>33.175214689036395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16.337933558645258</v>
      </c>
      <c r="G183" s="1">
        <f t="shared" si="166"/>
        <v>13.601489537657892</v>
      </c>
      <c r="H183" s="1">
        <f t="shared" si="166"/>
        <v>13.079391869944322</v>
      </c>
      <c r="I183" s="1">
        <f t="shared" si="166"/>
        <v>13.588301370806315</v>
      </c>
      <c r="J183" s="1">
        <f t="shared" si="166"/>
        <v>14.321854259865606</v>
      </c>
      <c r="K183" s="1">
        <f t="shared" si="166"/>
        <v>15.786055554779143</v>
      </c>
      <c r="L183" s="1">
        <f t="shared" ref="L183" si="167">SUM(L185,L189,L190,L198,L199,L207,L209)</f>
        <v>16.930642064335263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9.436691951707139E-3</v>
      </c>
      <c r="G184" s="1">
        <f t="shared" ref="G184:L184" si="168">G185</f>
        <v>1.2602236231020103E-2</v>
      </c>
      <c r="H184" s="1">
        <f t="shared" si="168"/>
        <v>4.3501411046161162E-2</v>
      </c>
      <c r="I184" s="1">
        <f t="shared" si="168"/>
        <v>9.7916931219493644E-3</v>
      </c>
      <c r="J184" s="1">
        <f t="shared" si="168"/>
        <v>7.1945627767017965E-3</v>
      </c>
      <c r="K184" s="1">
        <f t="shared" si="168"/>
        <v>3.3341692904060869E-3</v>
      </c>
      <c r="L184" s="1">
        <f t="shared" si="168"/>
        <v>5.9017561937459273E-5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9.436691951707139E-3</v>
      </c>
      <c r="G185" s="1">
        <f>'[1]Electricity and CHPs'!C$94</f>
        <v>1.2602236231020103E-2</v>
      </c>
      <c r="H185" s="1">
        <f>'[1]Electricity and CHPs'!D$94</f>
        <v>4.3501411046161162E-2</v>
      </c>
      <c r="I185" s="1">
        <f>'[1]Electricity and CHPs'!E$94</f>
        <v>9.7916931219493644E-3</v>
      </c>
      <c r="J185" s="1">
        <f>'[2]Electricity and CHPs'!F$94</f>
        <v>7.1945627767017965E-3</v>
      </c>
      <c r="K185" s="1">
        <f>'[2]Electricity and CHPs'!G$94</f>
        <v>3.3341692904060869E-3</v>
      </c>
      <c r="L185" s="1">
        <f>'[2]Electricity and CHPs'!H$94</f>
        <v>5.9017561937459273E-5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9.436691951707139E-3</v>
      </c>
      <c r="G186" s="1">
        <f t="shared" ref="G186:K186" si="169">G185-G187</f>
        <v>1.2602236231020103E-2</v>
      </c>
      <c r="H186" s="1">
        <f t="shared" si="169"/>
        <v>4.3501411046161162E-2</v>
      </c>
      <c r="I186" s="1">
        <f t="shared" si="169"/>
        <v>9.7916931219493644E-3</v>
      </c>
      <c r="J186" s="1">
        <f t="shared" si="169"/>
        <v>7.1945627767017965E-3</v>
      </c>
      <c r="K186" s="1">
        <f t="shared" si="169"/>
        <v>3.3341692904060869E-3</v>
      </c>
      <c r="L186" s="1">
        <f t="shared" ref="L186" si="170">L185-L187</f>
        <v>5.9017561937459273E-5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1.8036467630566795</v>
      </c>
      <c r="G188" s="1">
        <f t="shared" ref="G188:K188" si="173">SUM(G189:G190)</f>
        <v>3.7114377824545387E-2</v>
      </c>
      <c r="H188" s="1">
        <f t="shared" si="173"/>
        <v>0.15994218272706601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1.8036467630566795</v>
      </c>
      <c r="G189" s="1">
        <f>'[1]Electricity and CHPs'!C$91</f>
        <v>3.7114377824545387E-2</v>
      </c>
      <c r="H189" s="1">
        <f>'[1]Electricity and CHPs'!D$91</f>
        <v>0.15994218272706601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1.7581294496319546</v>
      </c>
      <c r="G191" s="1">
        <f t="shared" ref="G191:K191" si="175">SUM(G192:G193)</f>
        <v>3.5832068528575435E-2</v>
      </c>
      <c r="H191" s="1">
        <f t="shared" si="175"/>
        <v>0.15130244438238422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1.7581294496319546</v>
      </c>
      <c r="G192" s="1">
        <f t="shared" ref="G192:K192" si="177">G189-G195</f>
        <v>3.5832068528575435E-2</v>
      </c>
      <c r="H192" s="1">
        <f t="shared" si="177"/>
        <v>0.15130244438238422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4.5517313424724884E-2</v>
      </c>
      <c r="G194" s="1">
        <f t="shared" ref="G194:K194" si="181">SUM(G195:G196)</f>
        <v>1.2823092959699492E-3</v>
      </c>
      <c r="H194" s="1">
        <f t="shared" si="181"/>
        <v>8.6397383446817876E-3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4.5517313424724884E-2</v>
      </c>
      <c r="G195" s="1">
        <f t="shared" si="183"/>
        <v>1.2823092959699492E-3</v>
      </c>
      <c r="H195" s="1">
        <f t="shared" si="183"/>
        <v>8.6397383446817876E-3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14.461386032860608</v>
      </c>
      <c r="G197" s="1">
        <f t="shared" ref="G197:K197" si="186">SUM(G198:G199)</f>
        <v>13.06429502478572</v>
      </c>
      <c r="H197" s="1">
        <f t="shared" si="186"/>
        <v>12.384524026407272</v>
      </c>
      <c r="I197" s="1">
        <f t="shared" si="186"/>
        <v>13.423956535214588</v>
      </c>
      <c r="J197" s="1">
        <f t="shared" si="186"/>
        <v>12.342959798278395</v>
      </c>
      <c r="K197" s="1">
        <f t="shared" si="186"/>
        <v>13.010897454358773</v>
      </c>
      <c r="L197" s="1">
        <f t="shared" ref="L197" si="187">SUM(L198:L199)</f>
        <v>13.242966641506772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14.461386032860608</v>
      </c>
      <c r="G198" s="1">
        <f>'[1]Electricity and CHPs'!C$93-G199</f>
        <v>13.06429502478572</v>
      </c>
      <c r="H198" s="1">
        <f>'[1]Electricity and CHPs'!D$93-H199</f>
        <v>12.384524026407272</v>
      </c>
      <c r="I198" s="1">
        <f>'[1]Electricity and CHPs'!E$93-I199</f>
        <v>13.423956535214588</v>
      </c>
      <c r="J198" s="1">
        <f>'[2]Electricity and CHPs'!F$93-J199</f>
        <v>12.342959798278395</v>
      </c>
      <c r="K198" s="1">
        <f>'[2]Electricity and CHPs'!G$93-K199</f>
        <v>8.922558158315784</v>
      </c>
      <c r="L198" s="1">
        <f>'[2]Electricity and CHPs'!H$93-L199</f>
        <v>3.4363125737471023E-3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4.0883392960429896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13.239530328933025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7.2306930164303038</v>
      </c>
      <c r="G200" s="1">
        <f t="shared" ref="G200:K200" si="188">SUM(G201:G202)</f>
        <v>6.5321475123928598</v>
      </c>
      <c r="H200" s="1">
        <f t="shared" si="188"/>
        <v>6.1922620132036359</v>
      </c>
      <c r="I200" s="1">
        <f t="shared" si="188"/>
        <v>6.7119782676072939</v>
      </c>
      <c r="J200" s="1">
        <f t="shared" si="188"/>
        <v>6.1714798991391975</v>
      </c>
      <c r="K200" s="1">
        <f t="shared" si="188"/>
        <v>6.5054487271793864</v>
      </c>
      <c r="L200" s="1">
        <f t="shared" ref="L200" si="189">SUM(L201:L202)</f>
        <v>6.6214833207533879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7.2306930164303038</v>
      </c>
      <c r="G201" s="1">
        <f t="shared" si="190"/>
        <v>6.5321475123928598</v>
      </c>
      <c r="H201" s="1">
        <f t="shared" si="190"/>
        <v>6.1922620132036359</v>
      </c>
      <c r="I201" s="1">
        <f t="shared" si="190"/>
        <v>6.7119782676072939</v>
      </c>
      <c r="J201" s="1">
        <f t="shared" si="190"/>
        <v>6.1714798991391975</v>
      </c>
      <c r="K201" s="1">
        <f t="shared" si="190"/>
        <v>4.461279079157892</v>
      </c>
      <c r="L201" s="1">
        <f t="shared" ref="L201" si="191">L198*L140/L133</f>
        <v>1.7181562868735512E-3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2.0441696480214948</v>
      </c>
      <c r="L202" s="1">
        <f t="shared" ref="L202" si="193">L199*IFERROR(L141/L134,0)</f>
        <v>6.6197651644665143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7.2306930164303038</v>
      </c>
      <c r="G203" s="1">
        <f t="shared" ref="G203:K203" si="194">SUM(G204:G205)</f>
        <v>6.5321475123928598</v>
      </c>
      <c r="H203" s="1">
        <f t="shared" si="194"/>
        <v>6.1922620132036359</v>
      </c>
      <c r="I203" s="1">
        <f t="shared" si="194"/>
        <v>6.7119782676072939</v>
      </c>
      <c r="J203" s="1">
        <f t="shared" si="194"/>
        <v>6.1714798991391975</v>
      </c>
      <c r="K203" s="1">
        <f t="shared" si="194"/>
        <v>6.5054487271793864</v>
      </c>
      <c r="L203" s="1">
        <f t="shared" ref="L203" si="195">SUM(L204:L205)</f>
        <v>6.6214833207533843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7.2306930164303038</v>
      </c>
      <c r="G204" s="1">
        <f t="shared" si="196"/>
        <v>6.5321475123928598</v>
      </c>
      <c r="H204" s="1">
        <f t="shared" si="196"/>
        <v>6.1922620132036359</v>
      </c>
      <c r="I204" s="1">
        <f t="shared" si="196"/>
        <v>6.7119782676072939</v>
      </c>
      <c r="J204" s="1">
        <f t="shared" si="196"/>
        <v>6.1714798991391975</v>
      </c>
      <c r="K204" s="1">
        <f t="shared" si="196"/>
        <v>4.461279079157892</v>
      </c>
      <c r="L204" s="1">
        <f t="shared" ref="L204" si="197">L198-L201</f>
        <v>1.7181562868735512E-3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2.0441696480214948</v>
      </c>
      <c r="L205" s="1">
        <f t="shared" ref="L205" si="198">L199-L202</f>
        <v>6.6197651644665108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6.3464070776262399E-2</v>
      </c>
      <c r="G206" s="1">
        <f t="shared" ref="G206:L206" si="199">G207</f>
        <v>0.48747789881660691</v>
      </c>
      <c r="H206" s="1">
        <f t="shared" si="199"/>
        <v>0.49142424976382193</v>
      </c>
      <c r="I206" s="1">
        <f t="shared" si="199"/>
        <v>0.15455314246977811</v>
      </c>
      <c r="J206" s="1">
        <f t="shared" si="199"/>
        <v>1.971699898810509</v>
      </c>
      <c r="K206" s="1">
        <f t="shared" si="199"/>
        <v>2.7633588399370446</v>
      </c>
      <c r="L206" s="1">
        <f t="shared" si="199"/>
        <v>3.2423056428406927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6.3464070776262399E-2</v>
      </c>
      <c r="G207" s="1">
        <f>'[1]Electricity and CHPs'!C$92</f>
        <v>0.48747789881660691</v>
      </c>
      <c r="H207" s="1">
        <f>'[1]Electricity and CHPs'!D$92</f>
        <v>0.49142424976382193</v>
      </c>
      <c r="I207" s="1">
        <f>'[1]Electricity and CHPs'!E$92</f>
        <v>0.15455314246977811</v>
      </c>
      <c r="J207" s="1">
        <f>'[2]Electricity and CHPs'!F$92</f>
        <v>1.971699898810509</v>
      </c>
      <c r="K207" s="1">
        <f>'[2]Electricity and CHPs'!G$92</f>
        <v>2.7633588399370446</v>
      </c>
      <c r="L207" s="1">
        <f>'[2]Electricity and CHPs'!H$92</f>
        <v>3.2423056428406927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8.4650911929165674E-3</v>
      </c>
      <c r="L208" s="1">
        <f t="shared" si="200"/>
        <v>0.4453107624258601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8.4650911929165674E-3</v>
      </c>
      <c r="L209" s="1">
        <f>'[2]Electricity and CHPs'!H$96</f>
        <v>0.4453107624258601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8.171788124963502</v>
      </c>
      <c r="G210" s="1">
        <f t="shared" ref="G210:K210" si="201">SUM(G211,G217,G219,G225,G227,G229,G231)</f>
        <v>15.739874353276161</v>
      </c>
      <c r="H210" s="1">
        <f t="shared" si="201"/>
        <v>14.665917658904682</v>
      </c>
      <c r="I210" s="1">
        <f t="shared" si="201"/>
        <v>16.275761916462631</v>
      </c>
      <c r="J210" s="1">
        <f t="shared" si="201"/>
        <v>15.632412487935079</v>
      </c>
      <c r="K210" s="1">
        <f t="shared" si="201"/>
        <v>14.574211546929877</v>
      </c>
      <c r="L210" s="1">
        <f t="shared" ref="L210" si="202">SUM(L211,L217,L219,L225,L227,L229,L231)</f>
        <v>16.244572624701128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2.634992859865243</v>
      </c>
      <c r="G211" s="1">
        <f t="shared" ref="G211:L211" si="203">+G212</f>
        <v>1.6024256132703618</v>
      </c>
      <c r="H211" s="1">
        <f t="shared" si="203"/>
        <v>0.97426754706443208</v>
      </c>
      <c r="I211" s="1">
        <f t="shared" si="203"/>
        <v>0.90182760903795767</v>
      </c>
      <c r="J211" s="1">
        <f t="shared" si="203"/>
        <v>0.90181269880743598</v>
      </c>
      <c r="K211" s="1">
        <f t="shared" si="203"/>
        <v>0.90181004544806687</v>
      </c>
      <c r="L211" s="1">
        <f t="shared" si="203"/>
        <v>0.90181766731264856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2.634992859865243</v>
      </c>
      <c r="G212" s="1">
        <f>'[1]Electricity and CHPs'!C$97+G216</f>
        <v>1.6024256132703618</v>
      </c>
      <c r="H212" s="1">
        <f>'[1]Electricity and CHPs'!D$97+H216</f>
        <v>0.97426754706443208</v>
      </c>
      <c r="I212" s="1">
        <f>'[1]Electricity and CHPs'!E$97+I216</f>
        <v>0.90182760903795767</v>
      </c>
      <c r="J212" s="1">
        <f>'[2]Electricity and CHPs'!F$97+J216</f>
        <v>0.90181269880743598</v>
      </c>
      <c r="K212" s="1">
        <f>'[2]Electricity and CHPs'!G$97+K216</f>
        <v>0.90181004544806687</v>
      </c>
      <c r="L212" s="1">
        <f>'[2]Electricity and CHPs'!H$97+L216</f>
        <v>0.90181766731264856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1.7331149429487605</v>
      </c>
      <c r="G213" s="1">
        <f t="shared" ref="G213:L213" si="204">G214</f>
        <v>0.7005986152711916</v>
      </c>
      <c r="H213" s="1">
        <f t="shared" si="204"/>
        <v>7.243294019272406E-2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1.7331149429487605</v>
      </c>
      <c r="G214" s="1">
        <f t="shared" ref="G214:K214" si="205">G212-G216</f>
        <v>0.7005986152711916</v>
      </c>
      <c r="H214" s="1">
        <f t="shared" si="205"/>
        <v>7.243294019272406E-2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0.90187791691648245</v>
      </c>
      <c r="G215" s="1">
        <f t="shared" ref="G215:L215" si="207">G216</f>
        <v>0.90182699799917021</v>
      </c>
      <c r="H215" s="1">
        <f t="shared" si="207"/>
        <v>0.90183460687170802</v>
      </c>
      <c r="I215" s="1">
        <f t="shared" si="207"/>
        <v>0.90182760903795767</v>
      </c>
      <c r="J215" s="1">
        <f t="shared" si="207"/>
        <v>0.90181269880743598</v>
      </c>
      <c r="K215" s="1">
        <f t="shared" si="207"/>
        <v>0.90181004544806687</v>
      </c>
      <c r="L215" s="1">
        <f t="shared" si="207"/>
        <v>0.90181766731264856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0.90187791691648245</v>
      </c>
      <c r="G216" s="1">
        <f>'[1]Electricity and CHPs'!C$98</f>
        <v>0.90182699799917021</v>
      </c>
      <c r="H216" s="1">
        <f>'[1]Electricity and CHPs'!D$98</f>
        <v>0.90183460687170802</v>
      </c>
      <c r="I216" s="1">
        <f>'[1]Electricity and CHPs'!E$98</f>
        <v>0.90182760903795767</v>
      </c>
      <c r="J216" s="1">
        <f>'[2]Electricity and CHPs'!F$98</f>
        <v>0.90181269880743598</v>
      </c>
      <c r="K216" s="1">
        <f>'[2]Electricity and CHPs'!G$98</f>
        <v>0.90181004544806687</v>
      </c>
      <c r="L216" s="1">
        <f>'[2]Electricity and CHPs'!H$98</f>
        <v>0.90181766731264856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2.9006969043703221</v>
      </c>
      <c r="G217" s="1">
        <f t="shared" ref="G217:L217" si="208">+G218</f>
        <v>7.6011446679458627</v>
      </c>
      <c r="H217" s="1">
        <f t="shared" si="208"/>
        <v>7.5220312876419371</v>
      </c>
      <c r="I217" s="1">
        <f t="shared" si="208"/>
        <v>2.1306640705997935</v>
      </c>
      <c r="J217" s="1">
        <f t="shared" si="208"/>
        <v>1.2989494620651649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2.9006969043703221</v>
      </c>
      <c r="G218" s="1">
        <f>'[1]Electricity and CHPs'!C$99</f>
        <v>7.6011446679458627</v>
      </c>
      <c r="H218" s="1">
        <f>'[1]Electricity and CHPs'!D$99</f>
        <v>7.5220312876419371</v>
      </c>
      <c r="I218" s="1">
        <f>'[1]Electricity and CHPs'!E$99</f>
        <v>2.1306640705997935</v>
      </c>
      <c r="J218" s="1">
        <f>'[2]Electricity and CHPs'!F$99</f>
        <v>1.2989494620651649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0.18434257993190098</v>
      </c>
      <c r="G219" s="1">
        <f t="shared" ref="G219:L219" si="209">+G220</f>
        <v>0.18378174247741455</v>
      </c>
      <c r="H219" s="1">
        <f t="shared" si="209"/>
        <v>7.1846489861079567E-3</v>
      </c>
      <c r="I219" s="1">
        <f t="shared" si="209"/>
        <v>8.9284904955794931E-3</v>
      </c>
      <c r="J219" s="1">
        <f t="shared" si="209"/>
        <v>1.4419585299263034E-4</v>
      </c>
      <c r="K219" s="1">
        <f t="shared" si="209"/>
        <v>3.2596720046089173E-4</v>
      </c>
      <c r="L219" s="1">
        <f t="shared" si="209"/>
        <v>7.2182551152279111E-6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0.18434257993190098</v>
      </c>
      <c r="G220" s="1">
        <f>'[1]Electricity and CHPs'!C$100</f>
        <v>0.18378174247741455</v>
      </c>
      <c r="H220" s="1">
        <f>'[1]Electricity and CHPs'!D$100</f>
        <v>7.1846489861079567E-3</v>
      </c>
      <c r="I220" s="1">
        <f>'[1]Electricity and CHPs'!E$100</f>
        <v>8.9284904955794931E-3</v>
      </c>
      <c r="J220" s="1">
        <f>'[2]Electricity and CHPs'!F$100</f>
        <v>1.4419585299263034E-4</v>
      </c>
      <c r="K220" s="1">
        <f>'[2]Electricity and CHPs'!G$100</f>
        <v>3.2596720046089173E-4</v>
      </c>
      <c r="L220" s="1">
        <f>'[2]Electricity and CHPs'!H$100</f>
        <v>7.2182551152279111E-6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0.18434257993190098</v>
      </c>
      <c r="G221" s="1">
        <f t="shared" ref="G221:L221" si="210">G222</f>
        <v>0.18378174247741455</v>
      </c>
      <c r="H221" s="1">
        <f t="shared" si="210"/>
        <v>7.1846489861079567E-3</v>
      </c>
      <c r="I221" s="1">
        <f t="shared" si="210"/>
        <v>8.9284904955794931E-3</v>
      </c>
      <c r="J221" s="1">
        <f t="shared" si="210"/>
        <v>1.4419585299263034E-4</v>
      </c>
      <c r="K221" s="1">
        <f t="shared" si="210"/>
        <v>3.2596720046089173E-4</v>
      </c>
      <c r="L221" s="1">
        <f t="shared" si="210"/>
        <v>7.2182551152279111E-6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0.18434257993190098</v>
      </c>
      <c r="G222" s="1">
        <f t="shared" ref="G222:K222" si="211">G220-G224</f>
        <v>0.18378174247741455</v>
      </c>
      <c r="H222" s="1">
        <f t="shared" si="211"/>
        <v>7.1846489861079567E-3</v>
      </c>
      <c r="I222" s="1">
        <f t="shared" si="211"/>
        <v>8.9284904955794931E-3</v>
      </c>
      <c r="J222" s="1">
        <f t="shared" si="211"/>
        <v>1.4419585299263034E-4</v>
      </c>
      <c r="K222" s="1">
        <f t="shared" si="211"/>
        <v>3.2596720046089173E-4</v>
      </c>
      <c r="L222" s="1">
        <f t="shared" ref="L222" si="212">L220-L224</f>
        <v>7.2182551152279111E-6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2.4517557807960362</v>
      </c>
      <c r="G225" s="1">
        <f t="shared" ref="G225:L225" si="214">+G226</f>
        <v>2.2126698813532819</v>
      </c>
      <c r="H225" s="1">
        <f t="shared" si="214"/>
        <v>1.8971086139180009</v>
      </c>
      <c r="I225" s="1">
        <f t="shared" si="214"/>
        <v>1.71362856189693</v>
      </c>
      <c r="J225" s="1">
        <f t="shared" si="214"/>
        <v>2.0857467254498951</v>
      </c>
      <c r="K225" s="1">
        <f t="shared" si="214"/>
        <v>1.7468665997262292</v>
      </c>
      <c r="L225" s="1">
        <f t="shared" si="214"/>
        <v>2.1699477404381367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2.4517557807960362</v>
      </c>
      <c r="G226" s="1">
        <f>'[1]Electricity and CHPs'!C$101</f>
        <v>2.2126698813532819</v>
      </c>
      <c r="H226" s="1">
        <f>'[1]Electricity and CHPs'!D$101</f>
        <v>1.8971086139180009</v>
      </c>
      <c r="I226" s="1">
        <f>'[1]Electricity and CHPs'!E$101</f>
        <v>1.71362856189693</v>
      </c>
      <c r="J226" s="1">
        <f>'[2]Electricity and CHPs'!F$101</f>
        <v>2.0857467254498951</v>
      </c>
      <c r="K226" s="1">
        <f>'[2]Electricity and CHPs'!G$101</f>
        <v>1.7468665997262292</v>
      </c>
      <c r="L226" s="1">
        <f>'[2]Electricity and CHPs'!H$101</f>
        <v>2.1699477404381367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1.2798217833901015E-3</v>
      </c>
      <c r="J227" s="1">
        <f t="shared" si="215"/>
        <v>1.3103988228516946E-4</v>
      </c>
      <c r="K227" s="1">
        <f t="shared" si="215"/>
        <v>1.312065979412731E-4</v>
      </c>
      <c r="L227" s="1">
        <f t="shared" si="215"/>
        <v>1.3282720853655062E-4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1.2798217833901015E-3</v>
      </c>
      <c r="J228" s="1">
        <f>'[2]Electricity and CHPs'!F$102</f>
        <v>1.3103988228516946E-4</v>
      </c>
      <c r="K228" s="1">
        <f>'[2]Electricity and CHPs'!G$102</f>
        <v>1.312065979412731E-4</v>
      </c>
      <c r="L228" s="1">
        <f>'[2]Electricity and CHPs'!H$102</f>
        <v>1.3282720853655062E-4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3.8668859542250226E-4</v>
      </c>
      <c r="L229" s="1">
        <f t="shared" si="216"/>
        <v>3.8958765975548781E-4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3.8668859542250226E-4</v>
      </c>
      <c r="L230" s="1">
        <f>'[2]Electricity and CHPs'!H$90</f>
        <v>3.8958765975548781E-4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4.1398524482292398</v>
      </c>
      <c r="H231" s="1">
        <f t="shared" si="217"/>
        <v>4.2653255612942047</v>
      </c>
      <c r="I231" s="1">
        <f t="shared" si="217"/>
        <v>11.51943336264898</v>
      </c>
      <c r="J231" s="1">
        <f t="shared" si="217"/>
        <v>11.345628365877305</v>
      </c>
      <c r="K231" s="1">
        <f t="shared" si="217"/>
        <v>11.924691039361758</v>
      </c>
      <c r="L231" s="1">
        <f t="shared" si="217"/>
        <v>13.172277583826935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4.1398524482292398</v>
      </c>
      <c r="H232" s="1">
        <f>'[1]Electricity and CHPs'!D$123</f>
        <v>4.2653255612942047</v>
      </c>
      <c r="I232" s="1">
        <f>'[1]Electricity and CHPs'!E$123</f>
        <v>11.51943336264898</v>
      </c>
      <c r="J232" s="1">
        <f>'[2]Electricity and CHPs'!F$123</f>
        <v>11.345628365877305</v>
      </c>
      <c r="K232" s="1">
        <f>'[2]Electricity and CHPs'!G$123</f>
        <v>11.924691039361758</v>
      </c>
      <c r="L232" s="1">
        <f>'[2]Electricity and CHPs'!H$123</f>
        <v>13.172277583826935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6.7584290080191467</v>
      </c>
      <c r="G233" s="1">
        <f t="shared" ref="G233:K233" si="218">SUM(G234,G240,G273,G282,G288)</f>
        <v>8.023123528494672</v>
      </c>
      <c r="H233" s="1">
        <f t="shared" si="218"/>
        <v>7.9384850651831282</v>
      </c>
      <c r="I233" s="1">
        <f t="shared" si="218"/>
        <v>8.1361867281298377</v>
      </c>
      <c r="J233" s="1">
        <f t="shared" si="218"/>
        <v>9.9595234521333165</v>
      </c>
      <c r="K233" s="1">
        <f t="shared" si="218"/>
        <v>10.299816546485994</v>
      </c>
      <c r="L233" s="1">
        <f t="shared" ref="L233" si="219">SUM(L234,L240,L273,L282,L288)</f>
        <v>11.048674443591816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0.9300285020017458</v>
      </c>
      <c r="G234" s="1">
        <f t="shared" ref="G234:L234" si="220">+G235</f>
        <v>2.0129949751913112</v>
      </c>
      <c r="H234" s="1">
        <f t="shared" si="220"/>
        <v>1.3104198277838217</v>
      </c>
      <c r="I234" s="1">
        <f t="shared" si="220"/>
        <v>1.2420320861859517</v>
      </c>
      <c r="J234" s="1">
        <f t="shared" si="220"/>
        <v>0.8123314826623691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0.9300285020017458</v>
      </c>
      <c r="G235" s="1">
        <f>'[1]Electricity and CHPs'!C$104</f>
        <v>2.0129949751913112</v>
      </c>
      <c r="H235" s="1">
        <f>'[1]Electricity and CHPs'!D$104</f>
        <v>1.3104198277838217</v>
      </c>
      <c r="I235" s="1">
        <f>'[1]Electricity and CHPs'!E$104</f>
        <v>1.2420320861859517</v>
      </c>
      <c r="J235" s="1">
        <f>'[2]Electricity and CHPs'!F$104</f>
        <v>0.8123314826623691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0.9300285020017458</v>
      </c>
      <c r="G236" s="1">
        <f t="shared" ref="G236:L236" si="221">G237</f>
        <v>2.0129949751913112</v>
      </c>
      <c r="H236" s="1">
        <f t="shared" si="221"/>
        <v>1.3104198277838217</v>
      </c>
      <c r="I236" s="1">
        <f t="shared" si="221"/>
        <v>1.2420320861859517</v>
      </c>
      <c r="J236" s="1">
        <f t="shared" si="221"/>
        <v>0.8123314826623691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0.9300285020017458</v>
      </c>
      <c r="G237" s="1">
        <f t="shared" ref="G237:K237" si="222">G235-G239</f>
        <v>2.0129949751913112</v>
      </c>
      <c r="H237" s="1">
        <f t="shared" si="222"/>
        <v>1.3104198277838217</v>
      </c>
      <c r="I237" s="1">
        <f t="shared" si="222"/>
        <v>1.2420320861859517</v>
      </c>
      <c r="J237" s="1">
        <f t="shared" si="222"/>
        <v>0.8123314826623691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3.2327930458800709</v>
      </c>
      <c r="G240" s="1">
        <f t="shared" ref="G240:K240" si="227">SUM(G241:G250)</f>
        <v>2.6405540594058534</v>
      </c>
      <c r="H240" s="1">
        <f t="shared" si="227"/>
        <v>2.8172325753872802</v>
      </c>
      <c r="I240" s="1">
        <f t="shared" si="227"/>
        <v>1.384172392571495</v>
      </c>
      <c r="J240" s="1">
        <f t="shared" si="227"/>
        <v>2.3309967204309099</v>
      </c>
      <c r="K240" s="1">
        <f t="shared" si="227"/>
        <v>1.2782198911963105</v>
      </c>
      <c r="L240" s="1">
        <f t="shared" ref="L240" si="228">SUM(L241:L250)</f>
        <v>1.7458401780240567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0.90562911982897554</v>
      </c>
      <c r="G241" s="1">
        <f>'[1]Electricity and CHPs_IN'!C$39*0.75-G88-G242</f>
        <v>0.24638617604288288</v>
      </c>
      <c r="H241" s="1">
        <f>'[1]Electricity and CHPs_IN'!D$39*0.75-H88-H242</f>
        <v>0.53893559510488798</v>
      </c>
      <c r="I241" s="1">
        <f>'[1]Electricity and CHPs_IN'!E$39*0.75-I88-I242</f>
        <v>5.9199724522254069E-2</v>
      </c>
      <c r="J241" s="1">
        <f>'[2]Electricity and CHPs'!F$103-J242</f>
        <v>1.0828025594118897</v>
      </c>
      <c r="K241" s="1">
        <f>'[2]Electricity and CHPs'!G$103-K242</f>
        <v>0.15922219594705103</v>
      </c>
      <c r="L241" s="1">
        <f>'[2]Electricity and CHPs'!H$103-L242</f>
        <v>0.46854969263808594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9.1445750984012947E-2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0.27093232580899412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2.1992240234273647E-3</v>
      </c>
      <c r="K243" s="1">
        <f>'[2]Electricity and CHPs'!G$107</f>
        <v>2.2123640459019078E-3</v>
      </c>
      <c r="L243" s="1">
        <f>'[2]Electricity and CHPs'!H$107</f>
        <v>3.9798121713057025E-4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9.5466489765268031E-2</v>
      </c>
      <c r="G244" s="1">
        <f>'[1]Electricity and CHPs'!C$109</f>
        <v>2.8622183062037208E-2</v>
      </c>
      <c r="H244" s="1">
        <f>'[1]Electricity and CHPs'!D$109</f>
        <v>4.1406476263365882E-2</v>
      </c>
      <c r="I244" s="1">
        <f>'[1]Electricity and CHPs'!E$109</f>
        <v>0</v>
      </c>
      <c r="J244" s="1">
        <f>'[2]Electricity and CHPs'!F$109</f>
        <v>1.5813913508614205E-2</v>
      </c>
      <c r="K244" s="1">
        <f>'[2]Electricity and CHPs'!G$109</f>
        <v>5.8735860275793148E-3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0.11441667339215134</v>
      </c>
      <c r="G246" s="1">
        <f>'[1]Electricity and CHPs'!C$112</f>
        <v>3.539099865800819E-2</v>
      </c>
      <c r="H246" s="1">
        <f>'[1]Electricity and CHPs'!D$112</f>
        <v>8.2109750926786962E-2</v>
      </c>
      <c r="I246" s="1">
        <f>'[1]Electricity and CHPs'!E$112</f>
        <v>0</v>
      </c>
      <c r="J246" s="1">
        <f>'[2]Electricity and CHPs'!F$112</f>
        <v>5.2628243427521461E-2</v>
      </c>
      <c r="K246" s="1">
        <f>'[2]Electricity and CHPs'!G$112</f>
        <v>1.1072274097687894E-2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1.4244197113477317</v>
      </c>
      <c r="G248" s="1">
        <f>'[1]Electricity and CHPs'!C$115</f>
        <v>1.5790260566022303</v>
      </c>
      <c r="H248" s="1">
        <f>'[1]Electricity and CHPs'!D$115</f>
        <v>1.4835438423017189</v>
      </c>
      <c r="I248" s="1">
        <f>'[1]Electricity and CHPs'!E$115</f>
        <v>1.3249726680492411</v>
      </c>
      <c r="J248" s="1">
        <f>'[2]Electricity and CHPs'!F$115</f>
        <v>1.1649732364436489</v>
      </c>
      <c r="K248" s="1">
        <f>'[2]Electricity and CHPs'!G$115</f>
        <v>1.0059594343036926</v>
      </c>
      <c r="L248" s="1">
        <f>'[2]Electricity and CHPs'!H$115</f>
        <v>1.0059601783598462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0.69286105154594424</v>
      </c>
      <c r="G249" s="1">
        <f>'[1]Electricity and CHPs'!C$116</f>
        <v>0.75112864504069488</v>
      </c>
      <c r="H249" s="1">
        <f>'[1]Electricity and CHPs'!D$116</f>
        <v>0.67123691079052017</v>
      </c>
      <c r="I249" s="1">
        <f>'[1]Electricity and CHPs'!E$116</f>
        <v>0</v>
      </c>
      <c r="J249" s="1">
        <f>'[2]Electricity and CHPs'!F$116</f>
        <v>1.2579543615808549E-2</v>
      </c>
      <c r="K249" s="1">
        <f>'[2]Electricity and CHPs'!G$116</f>
        <v>2.4342857903846419E-3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1.7627367400822558</v>
      </c>
      <c r="G251" s="1">
        <f t="shared" ref="G251:K251" si="229">SUM(G252:G261)</f>
        <v>1.0248519945902437</v>
      </c>
      <c r="H251" s="1">
        <f t="shared" si="229"/>
        <v>1.2616456892140615</v>
      </c>
      <c r="I251" s="1">
        <f t="shared" si="229"/>
        <v>5.3128671674037745E-2</v>
      </c>
      <c r="J251" s="1">
        <f t="shared" si="229"/>
        <v>0.95719413541414722</v>
      </c>
      <c r="K251" s="1">
        <f t="shared" si="229"/>
        <v>0.16229152180778472</v>
      </c>
      <c r="L251" s="1">
        <f t="shared" ref="L251" si="230">SUM(L252:L261)</f>
        <v>0.27239567650772695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0.88277442048421373</v>
      </c>
      <c r="G252" s="1">
        <f t="shared" si="231"/>
        <v>0.23787348359167521</v>
      </c>
      <c r="H252" s="1">
        <f t="shared" si="231"/>
        <v>0.50982343440437228</v>
      </c>
      <c r="I252" s="1">
        <f t="shared" si="231"/>
        <v>5.3128671674037745E-2</v>
      </c>
      <c r="J252" s="1">
        <f t="shared" si="231"/>
        <v>0.88887768892638586</v>
      </c>
      <c r="K252" s="1">
        <f t="shared" si="231"/>
        <v>9.4910633665820685E-2</v>
      </c>
      <c r="L252" s="1">
        <f t="shared" ref="L252" si="232">L241-L263</f>
        <v>0.17250217678753765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5.4509825846301943E-2</v>
      </c>
      <c r="L253" s="1">
        <f t="shared" ref="L253" si="233">L242-L264</f>
        <v>9.9746978172199297E-2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1.8053532939904119E-3</v>
      </c>
      <c r="K254" s="1">
        <f t="shared" si="231"/>
        <v>1.3187663456535683E-3</v>
      </c>
      <c r="L254" s="1">
        <f t="shared" ref="L254" si="234">L243-L265</f>
        <v>1.4652154799001273E-4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9.3057271826806634E-2</v>
      </c>
      <c r="G255" s="1">
        <f t="shared" ref="G255:K255" si="235">G244-G266</f>
        <v>2.7633280820838085E-2</v>
      </c>
      <c r="H255" s="1">
        <f t="shared" si="235"/>
        <v>3.9169786013232011E-2</v>
      </c>
      <c r="I255" s="1">
        <f t="shared" si="235"/>
        <v>0</v>
      </c>
      <c r="J255" s="1">
        <f t="shared" si="235"/>
        <v>1.2981715614020554E-2</v>
      </c>
      <c r="K255" s="1">
        <f t="shared" si="235"/>
        <v>3.5011812797359435E-3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0.1115292235375141</v>
      </c>
      <c r="G257" s="1">
        <f t="shared" si="239"/>
        <v>3.4168232462455518E-2</v>
      </c>
      <c r="H257" s="1">
        <f t="shared" si="239"/>
        <v>7.7674355889287672E-2</v>
      </c>
      <c r="I257" s="1">
        <f t="shared" si="239"/>
        <v>0</v>
      </c>
      <c r="J257" s="1">
        <f t="shared" si="239"/>
        <v>4.3202771348747573E-2</v>
      </c>
      <c r="K257" s="1">
        <f t="shared" si="239"/>
        <v>6.6000631663356638E-3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0.67537582423372122</v>
      </c>
      <c r="G260" s="1">
        <f t="shared" si="245"/>
        <v>0.72517699771527477</v>
      </c>
      <c r="H260" s="1">
        <f t="shared" si="245"/>
        <v>0.63497811290716966</v>
      </c>
      <c r="I260" s="1">
        <f t="shared" si="245"/>
        <v>0</v>
      </c>
      <c r="J260" s="1">
        <f t="shared" si="245"/>
        <v>1.0326606231002776E-2</v>
      </c>
      <c r="K260" s="1">
        <f t="shared" si="245"/>
        <v>1.4510515039369335E-3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1.4700563057978151</v>
      </c>
      <c r="G262" s="1">
        <f t="shared" ref="G262:K262" si="249">SUM(G263:G272)</f>
        <v>1.61570206481561</v>
      </c>
      <c r="H262" s="1">
        <f t="shared" si="249"/>
        <v>1.5555868861732183</v>
      </c>
      <c r="I262" s="1">
        <f t="shared" si="249"/>
        <v>1.3310437208974575</v>
      </c>
      <c r="J262" s="1">
        <f t="shared" si="249"/>
        <v>1.373802585016763</v>
      </c>
      <c r="K262" s="1">
        <f t="shared" si="249"/>
        <v>1.1159283693885256</v>
      </c>
      <c r="L262" s="1">
        <f t="shared" ref="L262" si="250">SUM(L263:L272)</f>
        <v>1.4734445015163298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2.2854699344761784E-2</v>
      </c>
      <c r="G263" s="1">
        <f t="shared" si="251"/>
        <v>8.5126924512076776E-3</v>
      </c>
      <c r="H263" s="1">
        <f t="shared" si="251"/>
        <v>2.9112160700515737E-2</v>
      </c>
      <c r="I263" s="1">
        <f t="shared" si="251"/>
        <v>6.0710528482163205E-3</v>
      </c>
      <c r="J263" s="1">
        <f t="shared" si="251"/>
        <v>0.19392487048550386</v>
      </c>
      <c r="K263" s="1">
        <f t="shared" si="251"/>
        <v>6.4311562281230347E-2</v>
      </c>
      <c r="L263" s="1">
        <f t="shared" ref="L263" si="252">L241*IFERROR(L120/L88,0)</f>
        <v>0.29604751585054828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3.6935925137711004E-2</v>
      </c>
      <c r="L264" s="1">
        <f t="shared" ref="L264" si="253">L242*IFERROR(L121/L89,0)</f>
        <v>0.17118534763679483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3.9387072943695273E-4</v>
      </c>
      <c r="K265" s="1">
        <f t="shared" si="251"/>
        <v>8.9359770024833945E-4</v>
      </c>
      <c r="L265" s="1">
        <f t="shared" ref="L265" si="254">L243*IFERROR(L122/L90,0)</f>
        <v>2.5145966914055752E-4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2.4092179384614027E-3</v>
      </c>
      <c r="G266" s="1">
        <f t="shared" si="251"/>
        <v>9.8890224119912236E-4</v>
      </c>
      <c r="H266" s="1">
        <f t="shared" si="251"/>
        <v>2.2366902501338697E-3</v>
      </c>
      <c r="I266" s="1">
        <f t="shared" si="251"/>
        <v>0</v>
      </c>
      <c r="J266" s="1">
        <f t="shared" si="251"/>
        <v>2.8321978945936499E-3</v>
      </c>
      <c r="K266" s="1">
        <f t="shared" si="251"/>
        <v>2.3724047478433713E-3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2.8874498546372367E-3</v>
      </c>
      <c r="G268" s="1">
        <f t="shared" si="251"/>
        <v>1.2227661955526742E-3</v>
      </c>
      <c r="H268" s="1">
        <f t="shared" si="251"/>
        <v>4.4353950374992832E-3</v>
      </c>
      <c r="I268" s="1">
        <f t="shared" si="251"/>
        <v>0</v>
      </c>
      <c r="J268" s="1">
        <f t="shared" si="251"/>
        <v>9.4254720787738857E-3</v>
      </c>
      <c r="K268" s="1">
        <f t="shared" si="251"/>
        <v>4.4722109313522305E-3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1.4244197113477317</v>
      </c>
      <c r="G270" s="1">
        <f t="shared" si="251"/>
        <v>1.5790260566022303</v>
      </c>
      <c r="H270" s="1">
        <f t="shared" si="251"/>
        <v>1.4835438423017189</v>
      </c>
      <c r="I270" s="1">
        <f t="shared" si="251"/>
        <v>1.3249726680492411</v>
      </c>
      <c r="J270" s="1">
        <f t="shared" si="251"/>
        <v>1.1649732364436489</v>
      </c>
      <c r="K270" s="1">
        <f t="shared" si="251"/>
        <v>1.0059594343036926</v>
      </c>
      <c r="L270" s="1">
        <f t="shared" ref="L270" si="259">L248*IFERROR(L127/L95,0)</f>
        <v>1.0059601783598462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1.7485227312222972E-2</v>
      </c>
      <c r="G271" s="1">
        <f t="shared" si="251"/>
        <v>2.5951647325420126E-2</v>
      </c>
      <c r="H271" s="1">
        <f t="shared" si="251"/>
        <v>3.6258797883350527E-2</v>
      </c>
      <c r="I271" s="1">
        <f t="shared" si="251"/>
        <v>0</v>
      </c>
      <c r="J271" s="1">
        <f t="shared" si="251"/>
        <v>2.2529373848057723E-3</v>
      </c>
      <c r="K271" s="1">
        <f t="shared" si="251"/>
        <v>9.8323428644770837E-4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1.9356600170775753</v>
      </c>
      <c r="G273" s="1">
        <f t="shared" ref="G273:K273" si="262">SUM(G274:G275)</f>
        <v>1.9671878820404487</v>
      </c>
      <c r="H273" s="1">
        <f t="shared" si="262"/>
        <v>9.6382372040252254E-2</v>
      </c>
      <c r="I273" s="1">
        <f t="shared" si="262"/>
        <v>9.748796287784349E-2</v>
      </c>
      <c r="J273" s="1">
        <f t="shared" si="262"/>
        <v>1.5995176633888886E-2</v>
      </c>
      <c r="K273" s="1">
        <f t="shared" si="262"/>
        <v>0.91783096164677702</v>
      </c>
      <c r="L273" s="1">
        <f t="shared" ref="L273" si="263">SUM(L274:L275)</f>
        <v>1.0904897276589103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1.9356600170775753</v>
      </c>
      <c r="G274" s="1">
        <f>'[1]Electricity and CHPs'!C$106-G275</f>
        <v>1.9671878820404487</v>
      </c>
      <c r="H274" s="1">
        <f>'[1]Electricity and CHPs'!D$106-H275</f>
        <v>9.6382372040252254E-2</v>
      </c>
      <c r="I274" s="1">
        <f>'[1]Electricity and CHPs'!E$106-I275</f>
        <v>9.748796287784349E-2</v>
      </c>
      <c r="J274" s="1">
        <f>'[2]Electricity and CHPs'!F$106-J275</f>
        <v>1.5995176633888886E-2</v>
      </c>
      <c r="K274" s="1">
        <f>'[2]Electricity and CHPs'!G$106-K275</f>
        <v>7.1235888172253015E-3</v>
      </c>
      <c r="L274" s="1">
        <f>'[2]Electricity and CHPs'!H$106-L275</f>
        <v>9.2749139744685571E-4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0.91070737282955172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1.0895622362614634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1.9356600170775753</v>
      </c>
      <c r="G279" s="1">
        <f t="shared" ref="G279:K279" si="266">SUM(G280:G281)</f>
        <v>1.9671878820404487</v>
      </c>
      <c r="H279" s="1">
        <f t="shared" si="266"/>
        <v>9.6382372040252254E-2</v>
      </c>
      <c r="I279" s="1">
        <f t="shared" si="266"/>
        <v>9.748796287784349E-2</v>
      </c>
      <c r="J279" s="1">
        <f t="shared" si="266"/>
        <v>1.5995176633888886E-2</v>
      </c>
      <c r="K279" s="1">
        <f t="shared" si="266"/>
        <v>0.91783096164677702</v>
      </c>
      <c r="L279" s="1">
        <f t="shared" ref="L279" si="267">SUM(L280:L281)</f>
        <v>1.0904897276589103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1.9356600170775753</v>
      </c>
      <c r="G280" s="1">
        <f t="shared" ref="G280:K280" si="268">G274</f>
        <v>1.9671878820404487</v>
      </c>
      <c r="H280" s="1">
        <f t="shared" si="268"/>
        <v>9.6382372040252254E-2</v>
      </c>
      <c r="I280" s="1">
        <f t="shared" si="268"/>
        <v>9.748796287784349E-2</v>
      </c>
      <c r="J280" s="1">
        <f t="shared" si="268"/>
        <v>1.5995176633888886E-2</v>
      </c>
      <c r="K280" s="1">
        <f t="shared" si="268"/>
        <v>7.1235888172253015E-3</v>
      </c>
      <c r="L280" s="1">
        <f t="shared" ref="L280" si="269">L274</f>
        <v>9.2749139744685571E-4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0.91070737282955172</v>
      </c>
      <c r="L281" s="1">
        <f t="shared" ref="L281" si="271">L275</f>
        <v>1.0895622362614634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0.65994744305975483</v>
      </c>
      <c r="G282" s="1">
        <f t="shared" ref="G282:K282" si="272">SUM(G283:G287)</f>
        <v>1.4023866118570587</v>
      </c>
      <c r="H282" s="1">
        <f t="shared" si="272"/>
        <v>3.7144502899717744</v>
      </c>
      <c r="I282" s="1">
        <f t="shared" si="272"/>
        <v>5.3812368622562738</v>
      </c>
      <c r="J282" s="1">
        <f t="shared" si="272"/>
        <v>6.785589305852656</v>
      </c>
      <c r="K282" s="1">
        <f t="shared" si="272"/>
        <v>8.004873570833146</v>
      </c>
      <c r="L282" s="1">
        <f t="shared" ref="L282" si="273">SUM(L283:L287)</f>
        <v>8.0982909958849874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0.65994744305975483</v>
      </c>
      <c r="G283" s="1">
        <f>'[1]Electricity and CHPs'!C$105-G284</f>
        <v>1.4023866118570587</v>
      </c>
      <c r="H283" s="1">
        <f>'[1]Electricity and CHPs'!D$105-H284</f>
        <v>3.7144502899717744</v>
      </c>
      <c r="I283" s="1">
        <f>'[1]Electricity and CHPs'!E$105-I284</f>
        <v>5.3812368622562738</v>
      </c>
      <c r="J283" s="1">
        <f>'[2]Electricity and CHPs'!F$105-J284</f>
        <v>5.8234746912065454</v>
      </c>
      <c r="K283" s="1">
        <f>'[2]Electricity and CHPs'!G$105-K284</f>
        <v>5.3889078080481614</v>
      </c>
      <c r="L283" s="1">
        <f>'[2]Electricity and CHPs'!H$105-L284</f>
        <v>4.8212940580368802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0.5907595886527599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2.4818360869726375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1.8137768323636665E-2</v>
      </c>
      <c r="K285" s="1">
        <f>'[2]Electricity and CHPs'!G$110</f>
        <v>1.8848593313704039E-2</v>
      </c>
      <c r="L285" s="1">
        <f>'[2]Electricity and CHPs'!H$110</f>
        <v>6.877740930514323E-3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0.93783786121293533</v>
      </c>
      <c r="K286" s="1">
        <f>'[2]Electricity and CHPs'!G$113</f>
        <v>2.0031279629035197</v>
      </c>
      <c r="L286" s="1">
        <f>'[2]Electricity and CHPs'!H$113</f>
        <v>0.78707041824682089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6.1389851095382574E-3</v>
      </c>
      <c r="K287" s="1">
        <f>'[2]Electricity and CHPs'!G$117</f>
        <v>3.2296179150028571E-3</v>
      </c>
      <c r="L287" s="1">
        <f>'[2]Electricity and CHPs'!H$117</f>
        <v>1.2126916981345819E-3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3.125742423827519E-2</v>
      </c>
      <c r="J288" s="1">
        <f t="shared" si="274"/>
        <v>1.4610766553492284E-2</v>
      </c>
      <c r="K288" s="1">
        <f t="shared" si="274"/>
        <v>9.8892122809760466E-2</v>
      </c>
      <c r="L288" s="1">
        <f t="shared" ref="L288" si="275">SUM(L289:L290)</f>
        <v>0.11405354202386259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9.4943407786836492E-3</v>
      </c>
      <c r="K289" s="1">
        <f>'[2]Electricity and CHPs'!G$108</f>
        <v>9.2188467765105975E-2</v>
      </c>
      <c r="L289" s="1">
        <f>'[2]Electricity and CHPs'!H$108</f>
        <v>0.10612356157357962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3.125742423827519E-2</v>
      </c>
      <c r="J290" s="1">
        <f>'[2]Electricity and CHPs'!F$119</f>
        <v>5.1164257748086339E-3</v>
      </c>
      <c r="K290" s="1">
        <f>'[2]Electricity and CHPs'!G$119</f>
        <v>6.7036550446544965E-3</v>
      </c>
      <c r="L290" s="1">
        <f>'[2]Electricity and CHPs'!H$119</f>
        <v>7.9299804502829668E-3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438.16608189086332</v>
      </c>
      <c r="G291" s="3">
        <f t="shared" ref="G291" si="276">SUM(G292,G294,G302,G310,G358,G379,G387,G389,G397,G401,G395)</f>
        <v>420.57941799880848</v>
      </c>
      <c r="H291" s="3">
        <f t="shared" ref="H291" si="277">SUM(H292,H294,H302,H310,H358,H379,H387,H389,H397,H401,H395)</f>
        <v>432.48181220459333</v>
      </c>
      <c r="I291" s="3">
        <f>IFERROR(SUM(I292,I294,I302,I310,I358,I379,I387,I389,I397,I401,I395),0)</f>
        <v>490.16928849620979</v>
      </c>
      <c r="J291" s="3">
        <f t="shared" ref="J291" si="278">SUM(J292,J294,J302,J310,J358,J379,J387,J389,J397,J401,J395)</f>
        <v>416.89879322839681</v>
      </c>
      <c r="K291" s="3">
        <f t="shared" ref="K291" si="279">SUM(K292,K294,K302,K310,K358,K379,K387,K389,K397,K401,K395)</f>
        <v>431.21218678408536</v>
      </c>
      <c r="L291" s="3">
        <f>IFERROR(SUM(L292,L294,L302,L310,L358,L379,L387,L389,L397,L401,L395),0)</f>
        <v>398.55820676688603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250.94871707957057</v>
      </c>
      <c r="G292" s="1">
        <f t="shared" ref="G292:L292" si="280">G293</f>
        <v>253.29674232384002</v>
      </c>
      <c r="H292" s="1">
        <f t="shared" si="280"/>
        <v>233.18388719099903</v>
      </c>
      <c r="I292" s="1">
        <f t="shared" si="280"/>
        <v>211.82063694625381</v>
      </c>
      <c r="J292" s="1">
        <f t="shared" si="280"/>
        <v>167.60293030252663</v>
      </c>
      <c r="K292" s="1">
        <f t="shared" si="280"/>
        <v>98.945514148005145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250.94871707957057</v>
      </c>
      <c r="G293" s="1">
        <f>'[1]Electricity and CHPs_IN'!C$14</f>
        <v>253.29674232384002</v>
      </c>
      <c r="H293" s="1">
        <f>'[1]Electricity and CHPs_IN'!D$14</f>
        <v>233.18388719099903</v>
      </c>
      <c r="I293" s="1">
        <f>'[1]Electricity and CHPs_IN'!E$14</f>
        <v>211.82063694625381</v>
      </c>
      <c r="J293" s="1">
        <f>'[2]Electricity and CHPs_IN'!F$14</f>
        <v>167.60293030252663</v>
      </c>
      <c r="K293" s="1">
        <f>'[2]Electricity and CHPs_IN'!G$14</f>
        <v>98.945514148005145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149.43060968985017</v>
      </c>
      <c r="G294" s="1">
        <f t="shared" ref="G294:K294" si="282">SUM(G295:G297)</f>
        <v>125.65124522840297</v>
      </c>
      <c r="H294" s="1">
        <f t="shared" si="282"/>
        <v>137.72924305395776</v>
      </c>
      <c r="I294" s="1">
        <f t="shared" si="282"/>
        <v>191.68914738393363</v>
      </c>
      <c r="J294" s="1">
        <f t="shared" si="282"/>
        <v>152.56444289108566</v>
      </c>
      <c r="K294" s="1">
        <f t="shared" si="282"/>
        <v>155.20995502418145</v>
      </c>
      <c r="L294" s="1">
        <f t="shared" ref="L294" si="283">SUM(L295:L297)</f>
        <v>159.32923318240208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66.745681606063101</v>
      </c>
      <c r="G295" s="1">
        <f>'[1]Electricity and CHPs_IN'!C$15</f>
        <v>49.798777987808691</v>
      </c>
      <c r="H295" s="1">
        <f>'[1]Electricity and CHPs_IN'!D$15</f>
        <v>68.970400584037336</v>
      </c>
      <c r="I295" s="1">
        <f>'[1]Electricity and CHPs_IN'!E$15</f>
        <v>70.970232393460137</v>
      </c>
      <c r="J295" s="1">
        <f>'[2]Electricity and CHPs_IN'!F$15</f>
        <v>72.61624215309584</v>
      </c>
      <c r="K295" s="1">
        <f>'[2]Electricity and CHPs_IN'!G$15</f>
        <v>73.931684780467094</v>
      </c>
      <c r="L295" s="1">
        <f>'[2]Electricity and CHPs_IN'!H$15</f>
        <v>74.836059984174653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66.632430866657671</v>
      </c>
      <c r="G296" s="1">
        <f>'[1]Electricity and CHPs_IN'!C$16</f>
        <v>55.764055694378619</v>
      </c>
      <c r="H296" s="1">
        <f>'[1]Electricity and CHPs_IN'!D$16</f>
        <v>65.677217745587797</v>
      </c>
      <c r="I296" s="1">
        <f>'[1]Electricity and CHPs_IN'!E$16</f>
        <v>64.853740316850036</v>
      </c>
      <c r="J296" s="1">
        <f>'[2]Electricity and CHPs_IN'!F$16</f>
        <v>63.870159829891385</v>
      </c>
      <c r="K296" s="1">
        <f>'[2]Electricity and CHPs_IN'!G$16</f>
        <v>64.382938209233785</v>
      </c>
      <c r="L296" s="1">
        <f>'[2]Electricity and CHPs_IN'!H$16</f>
        <v>67.134977010270831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16.052497217129396</v>
      </c>
      <c r="G297" s="1">
        <f>'[1]Electricity and CHPs_IN'!C$13</f>
        <v>20.088411546215649</v>
      </c>
      <c r="H297" s="1">
        <f>'[1]Electricity and CHPs_IN'!D$13</f>
        <v>3.0816247243326447</v>
      </c>
      <c r="I297" s="1">
        <f>'[1]Electricity and CHPs_IN'!E$13</f>
        <v>55.865174673623464</v>
      </c>
      <c r="J297" s="1">
        <f>'[2]Electricity and CHPs_IN'!F$13</f>
        <v>16.078040908098451</v>
      </c>
      <c r="K297" s="1">
        <f>'[2]Electricity and CHPs_IN'!G$13</f>
        <v>16.895332034480578</v>
      </c>
      <c r="L297" s="1">
        <f>'[2]Electricity and CHPs_IN'!H$13</f>
        <v>17.358196187956597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0.28755479086613472</v>
      </c>
      <c r="G298" s="1">
        <f t="shared" ref="G298:K298" si="284">SUM(G299:G301)</f>
        <v>0.39523117248099776</v>
      </c>
      <c r="H298" s="1">
        <f t="shared" si="284"/>
        <v>0.19643403163368417</v>
      </c>
      <c r="I298" s="1">
        <f t="shared" si="284"/>
        <v>9.162515962178347E-2</v>
      </c>
      <c r="J298" s="1">
        <f t="shared" si="284"/>
        <v>0.12785617561400028</v>
      </c>
      <c r="K298" s="1">
        <f t="shared" si="284"/>
        <v>1.7662224561794657E-2</v>
      </c>
      <c r="L298" s="1">
        <f t="shared" ref="L298" si="285">SUM(L299:L301)</f>
        <v>2.0719112821385811E-4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0.23725264665402263</v>
      </c>
      <c r="G299" s="1">
        <f>'[1]Electricity and CHPs_IN'!C$18</f>
        <v>0.29228510052458495</v>
      </c>
      <c r="H299" s="1">
        <f>'[1]Electricity and CHPs_IN'!D$18</f>
        <v>0.13554092101139664</v>
      </c>
      <c r="I299" s="1">
        <f>'[1]Electricity and CHPs_IN'!E$18</f>
        <v>1.7718494471028752E-2</v>
      </c>
      <c r="J299" s="1">
        <f>'[2]Electricity and CHPs_IN'!F$18</f>
        <v>2.0831748842930615E-2</v>
      </c>
      <c r="K299" s="1">
        <f>'[2]Electricity and CHPs_IN'!G$18</f>
        <v>1.6652273714893969E-2</v>
      </c>
      <c r="L299" s="1">
        <f>'[2]Electricity and CHPs_IN'!H$18</f>
        <v>1.8841080198879121E-4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2.2155717614293875E-2</v>
      </c>
      <c r="G300" s="1">
        <f>IFERROR(G72/SUM(G72,G185),0)*'[1]Electricity and CHPs_IN'!C$28</f>
        <v>5.1075999674683688E-2</v>
      </c>
      <c r="H300" s="1">
        <f>IFERROR(H72/SUM(H72,H185),0)*'[1]Electricity and CHPs_IN'!D$28</f>
        <v>1.5936133952869049E-2</v>
      </c>
      <c r="I300" s="1">
        <f>IFERROR(I72/SUM(I72,I185),0)*'[1]Electricity and CHPs_IN'!E$28</f>
        <v>3.1945384254943145E-3</v>
      </c>
      <c r="J300" s="1">
        <f>IFERROR(J72/SUM(J72,J185),0)*'[2]Electricity and CHPs_IN'!F$28</f>
        <v>2.3811181591504144E-3</v>
      </c>
      <c r="K300" s="1">
        <f>IFERROR(K72/SUM(K72,K185),0)*'[2]Electricity and CHPs_IN'!G$28</f>
        <v>1.0099508469006858E-3</v>
      </c>
      <c r="L300" s="1">
        <f>IFERROR(L72/SUM(L72,L185),0)*'[2]Electricity and CHPs_IN'!H$28</f>
        <v>1.8780326225066901E-5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2.8146426597818245E-2</v>
      </c>
      <c r="G301" s="1">
        <f>IFERROR(G73/SUM(G73,G235),0)*'[1]Electricity and CHPs_IN'!C$41</f>
        <v>5.1870072281729108E-2</v>
      </c>
      <c r="H301" s="1">
        <f>IFERROR(H73/SUM(H73,H235),0)*'[1]Electricity and CHPs_IN'!D$41</f>
        <v>4.4956976669418489E-2</v>
      </c>
      <c r="I301" s="1">
        <f>IFERROR(I73/SUM(I73,I235),0)*'[1]Electricity and CHPs_IN'!E$41</f>
        <v>7.0712126725260407E-2</v>
      </c>
      <c r="J301" s="1">
        <f>IFERROR(J73/SUM(J73,J235),0)*'[2]Electricity and CHPs_IN'!F$41</f>
        <v>0.10464330861191926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0.28755479086613472</v>
      </c>
      <c r="G302" s="1">
        <f t="shared" ref="G302:K302" si="286">G298</f>
        <v>0.39523117248099776</v>
      </c>
      <c r="H302" s="1">
        <f t="shared" si="286"/>
        <v>0.19643403163368417</v>
      </c>
      <c r="I302" s="1">
        <f t="shared" si="286"/>
        <v>9.162515962178347E-2</v>
      </c>
      <c r="J302" s="1">
        <f t="shared" si="286"/>
        <v>0.12785617561400028</v>
      </c>
      <c r="K302" s="1">
        <f t="shared" si="286"/>
        <v>1.7662224561794657E-2</v>
      </c>
      <c r="L302" s="1">
        <f t="shared" ref="L302" si="287">L298</f>
        <v>2.0719112821385811E-4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0.23725264665402263</v>
      </c>
      <c r="G303" s="1">
        <f t="shared" si="288"/>
        <v>0.29228510052458495</v>
      </c>
      <c r="H303" s="1">
        <f t="shared" si="288"/>
        <v>0.13554092101139664</v>
      </c>
      <c r="I303" s="1">
        <f t="shared" si="288"/>
        <v>1.7718494471028752E-2</v>
      </c>
      <c r="J303" s="1">
        <f t="shared" si="288"/>
        <v>2.0831748842930615E-2</v>
      </c>
      <c r="K303" s="1">
        <f t="shared" si="288"/>
        <v>1.6652273714893969E-2</v>
      </c>
      <c r="L303" s="1">
        <f t="shared" ref="L303" si="289">L299</f>
        <v>1.8841080198879121E-4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2.2155717614293875E-2</v>
      </c>
      <c r="G304" s="1">
        <f t="shared" si="290"/>
        <v>5.1075999674683688E-2</v>
      </c>
      <c r="H304" s="1">
        <f t="shared" si="290"/>
        <v>1.5936133952869049E-2</v>
      </c>
      <c r="I304" s="1">
        <f t="shared" si="290"/>
        <v>3.1945384254943145E-3</v>
      </c>
      <c r="J304" s="1">
        <f t="shared" si="290"/>
        <v>2.3811181591504144E-3</v>
      </c>
      <c r="K304" s="1">
        <f t="shared" si="290"/>
        <v>1.0099508469006858E-3</v>
      </c>
      <c r="L304" s="1">
        <f t="shared" ref="L304" si="291">L300</f>
        <v>1.8780326225066901E-5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2.8146426597818245E-2</v>
      </c>
      <c r="G305" s="1">
        <f t="shared" si="292"/>
        <v>5.1870072281729108E-2</v>
      </c>
      <c r="H305" s="1">
        <f t="shared" si="292"/>
        <v>4.4956976669418489E-2</v>
      </c>
      <c r="I305" s="1">
        <f t="shared" si="292"/>
        <v>7.0712126725260407E-2</v>
      </c>
      <c r="J305" s="1">
        <f t="shared" si="292"/>
        <v>0.10464330861191926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4.4870192850517192</v>
      </c>
      <c r="G310" s="1">
        <f t="shared" ref="G310:K310" si="294">SUM(G311:G325)</f>
        <v>2.3999337970005077</v>
      </c>
      <c r="H310" s="1">
        <f t="shared" si="294"/>
        <v>2.8637078801647471</v>
      </c>
      <c r="I310" s="1">
        <f>IFERROR(SUM(I311:I325),0)</f>
        <v>1.4529899595983369</v>
      </c>
      <c r="J310" s="1">
        <f t="shared" si="294"/>
        <v>2.9039592340021296</v>
      </c>
      <c r="K310" s="1">
        <f t="shared" si="294"/>
        <v>1.9779083083709463</v>
      </c>
      <c r="L310" s="1">
        <f>IFERROR(SUM(L311:L325),0)</f>
        <v>3.4792126351786772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3.2162111851619582E-5</v>
      </c>
      <c r="L311" s="1">
        <f>'[2]Electricity and CHPs_IN'!H$21</f>
        <v>1.0777569110729393E-2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2.7559227797994191E-5</v>
      </c>
      <c r="L312" s="1">
        <f>'[2]Electricity and CHPs_IN'!H$22</f>
        <v>0.10977648476117809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1.3986035539728514</v>
      </c>
      <c r="G314" s="1">
        <f>IFERROR(G86/SUM(G86+G189),0)*'[1]Electricity and CHPs_IN'!C$24</f>
        <v>2.8637805192996215E-2</v>
      </c>
      <c r="H314" s="1">
        <f>IFERROR(H86/SUM(H86+H189),0)*'[1]Electricity and CHPs_IN'!D$24</f>
        <v>0.11587488496817153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0.89362871307127156</v>
      </c>
      <c r="G316" s="1">
        <f>G88/SUM(G88,G241)*'[1]Electricity and CHPs_IN'!C$39</f>
        <v>0.28870094250568629</v>
      </c>
      <c r="H316" s="1">
        <f>H88/SUM(H88,H241)*'[1]Electricity and CHPs_IN'!D$39</f>
        <v>0.63234851958414739</v>
      </c>
      <c r="I316" s="1">
        <f>I88/SUM(I88,I241)*'[1]Electricity and CHPs_IN'!E$39</f>
        <v>6.9081493343059922E-2</v>
      </c>
      <c r="J316" s="1">
        <f>J88/SUM(J88,J241)*'[2]Electricity and CHPs_IN'!F$39</f>
        <v>0.70386823053888814</v>
      </c>
      <c r="K316" s="1">
        <f>K88/SUM(K88,K241)*'[2]Electricity and CHPs_IN'!G$39</f>
        <v>0.30294040757588464</v>
      </c>
      <c r="L316" s="1">
        <f>L88/SUM(L88,L241)*'[2]Electricity and CHPs_IN'!H$39</f>
        <v>1.3053597210086036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0.11884404926508645</v>
      </c>
      <c r="L317" s="1">
        <f>IFERROR(L89/SUM(L89,L242),0)*'[2]Electricity and CHPs_IN'!H$40</f>
        <v>0.54923740605128479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0.1084823681965997</v>
      </c>
      <c r="G319" s="1">
        <f>G91/SUM(G91,G244)*'[1]Electricity and CHPs_IN'!C$48</f>
        <v>1.4188015523689659E-2</v>
      </c>
      <c r="H319" s="1">
        <f>H91/SUM(H91,H244)*'[1]Electricity and CHPs_IN'!D$48</f>
        <v>4.7960759437846535E-2</v>
      </c>
      <c r="I319" s="1">
        <f>IFERROR(I91/SUM(I91,I244)*'[1]Electricity and CHPs_IN'!E$48,0)</f>
        <v>0</v>
      </c>
      <c r="J319" s="1">
        <f>J91/SUM(J91,J244)*'[2]Electricity and CHPs_IN'!F$48</f>
        <v>1.013836194877701E-2</v>
      </c>
      <c r="K319" s="1">
        <f>K91/SUM(K91,K244)*'[2]Electricity and CHPs_IN'!G$48</f>
        <v>3.0521681596597313E-3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0.12899436616723819</v>
      </c>
      <c r="G321" s="1">
        <f>IFERROR(G93/SUM(G93,G246),0)*'[1]Electricity and CHPs_IN'!C$51</f>
        <v>1.9321698878924501E-2</v>
      </c>
      <c r="H321" s="1">
        <f>IFERROR(H93/SUM(H93,H246),0)*'[1]Electricity and CHPs_IN'!D$51</f>
        <v>7.3364792399169432E-2</v>
      </c>
      <c r="I321" s="1">
        <f>IFERROR(I93/SUM(I93,I246),0)*'[1]Electricity and CHPs_IN'!E$51</f>
        <v>0</v>
      </c>
      <c r="J321" s="1">
        <f>IFERROR(J93/SUM(J93,J246),0)*'[2]Electricity and CHPs_IN'!F$51</f>
        <v>3.0769706776364748E-2</v>
      </c>
      <c r="K321" s="1">
        <f>IFERROR(K93/SUM(K93,K246),0)*'[2]Electricity and CHPs_IN'!G$51</f>
        <v>6.2318698099807371E-3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1.0647533428843095</v>
      </c>
      <c r="G323" s="1">
        <f>IFERROR(G95/SUM(G95,G248),0)*'[1]Electricity and CHPs_IN'!C$54</f>
        <v>1.2566906558847364</v>
      </c>
      <c r="H323" s="1">
        <f>IFERROR(H95/SUM(H95,H248),0)*'[1]Electricity and CHPs_IN'!D$54</f>
        <v>1.3078011392037654</v>
      </c>
      <c r="I323" s="1">
        <f>IFERROR(I95/SUM(I95,I248),0)*'[1]Electricity and CHPs_IN'!E$54</f>
        <v>1.383908466255277</v>
      </c>
      <c r="J323" s="1">
        <f>IFERROR(J95/SUM(J95,J248),0)*'[2]Electricity and CHPs_IN'!F$54</f>
        <v>2.1473491878827131</v>
      </c>
      <c r="K323" s="1">
        <f>IFERROR(K95/SUM(K95,K248),0)*'[2]Electricity and CHPs_IN'!G$54</f>
        <v>1.5448198266600734</v>
      </c>
      <c r="L323" s="1">
        <f>IFERROR(L95/SUM(L95,L248),0)*'[2]Electricity and CHPs_IN'!H$54</f>
        <v>1.5040614542468813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0.89255694075944847</v>
      </c>
      <c r="G324" s="1">
        <f>IFERROR(G96/SUM(G96,G249),0)*'[1]Electricity and CHPs_IN'!C$55</f>
        <v>0.79239467901447458</v>
      </c>
      <c r="H324" s="1">
        <f>IFERROR(H96/SUM(H96,H249),0)*'[1]Electricity and CHPs_IN'!D$55</f>
        <v>0.68635778457164687</v>
      </c>
      <c r="I324" s="1">
        <f>IFERROR(I96/SUM(I96,I249),0)*'[1]Electricity and CHPs_IN'!E$55</f>
        <v>0</v>
      </c>
      <c r="J324" s="1">
        <f>IFERROR(J96/SUM(J96,J249),0)*'[2]Electricity and CHPs_IN'!F$55</f>
        <v>1.1833746855386676E-2</v>
      </c>
      <c r="K324" s="1">
        <f>IFERROR(K96/SUM(K96,K249),0)*'[2]Electricity and CHPs_IN'!G$55</f>
        <v>1.9602655606115824E-3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3.3359007210481675</v>
      </c>
      <c r="G326" s="1">
        <f t="shared" ref="G326:K326" si="295">G310-G342</f>
        <v>1.1037438582681114</v>
      </c>
      <c r="H326" s="1">
        <f t="shared" si="295"/>
        <v>1.4718599504181222</v>
      </c>
      <c r="I326" s="1">
        <f>IFERROR(I310-I342,0)</f>
        <v>6.1997044888206565E-2</v>
      </c>
      <c r="J326" s="1">
        <f t="shared" si="295"/>
        <v>0.62110472806639061</v>
      </c>
      <c r="K326" s="1">
        <f t="shared" si="295"/>
        <v>0.25815937274358669</v>
      </c>
      <c r="L326" s="1">
        <f>IFERROR(L310-L342,0)</f>
        <v>0.727175545195343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1.9171487980754434E-5</v>
      </c>
      <c r="L327" s="1">
        <f t="shared" ref="L327" si="297">IFERROR(L99/L83,0)*L311</f>
        <v>3.9678910503842387E-3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1.6427758442159419E-5</v>
      </c>
      <c r="L328" s="1">
        <f t="shared" ref="L328" si="299">IFERROR(L100/L84,0)*L312</f>
        <v>4.0415526632335497E-2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1.363308019599353</v>
      </c>
      <c r="G330" s="1">
        <f t="shared" si="302"/>
        <v>2.7648363203997838E-2</v>
      </c>
      <c r="H330" s="1">
        <f t="shared" si="302"/>
        <v>0.10961556882170199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0.87107685920978439</v>
      </c>
      <c r="G332" s="1">
        <f t="shared" si="306"/>
        <v>0.27872626627426916</v>
      </c>
      <c r="H332" s="1">
        <f t="shared" si="306"/>
        <v>0.59819039032329546</v>
      </c>
      <c r="I332" s="1">
        <f t="shared" si="306"/>
        <v>6.1997044888206676E-2</v>
      </c>
      <c r="J332" s="1">
        <f t="shared" si="306"/>
        <v>0.5778087248056808</v>
      </c>
      <c r="K332" s="1">
        <f t="shared" si="306"/>
        <v>0.18057950950237298</v>
      </c>
      <c r="L332" s="1">
        <f t="shared" ref="L332" si="307">IFERROR(L104/L88,0)*L316</f>
        <v>0.4805838033889972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7.0841655939177961E-2</v>
      </c>
      <c r="L333" s="1">
        <f t="shared" ref="L333" si="309">IFERROR(L105/L89,0)*L317</f>
        <v>0.2022083241236258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0.10574467805937306</v>
      </c>
      <c r="G335" s="1">
        <f t="shared" si="312"/>
        <v>1.3697816704153983E-2</v>
      </c>
      <c r="H335" s="1">
        <f t="shared" si="312"/>
        <v>4.5370020676563518E-2</v>
      </c>
      <c r="I335" s="1">
        <f>IFERROR(IFERROR(I107/I91,0)*I319,0)</f>
        <v>0</v>
      </c>
      <c r="J335" s="1">
        <f t="shared" si="312"/>
        <v>8.3226287749289599E-3</v>
      </c>
      <c r="K335" s="1">
        <f t="shared" si="312"/>
        <v>1.819364519908269E-3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0.12573902974820045</v>
      </c>
      <c r="G337" s="1">
        <f t="shared" si="315"/>
        <v>1.8654130256233178E-2</v>
      </c>
      <c r="H337" s="1">
        <f t="shared" si="315"/>
        <v>6.9401781520904982E-2</v>
      </c>
      <c r="I337" s="1">
        <f t="shared" si="315"/>
        <v>0</v>
      </c>
      <c r="J337" s="1">
        <f t="shared" si="315"/>
        <v>2.5258996306004974E-2</v>
      </c>
      <c r="K337" s="1">
        <f t="shared" si="315"/>
        <v>3.7147503780494365E-3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0.87003213443145633</v>
      </c>
      <c r="G340" s="1">
        <f t="shared" si="321"/>
        <v>0.76501728182945716</v>
      </c>
      <c r="H340" s="1">
        <f t="shared" si="321"/>
        <v>0.64928218907565627</v>
      </c>
      <c r="I340" s="1">
        <f t="shared" si="321"/>
        <v>0</v>
      </c>
      <c r="J340" s="1">
        <f t="shared" si="321"/>
        <v>9.7143781797755634E-3</v>
      </c>
      <c r="K340" s="1">
        <f t="shared" si="321"/>
        <v>1.1684931576549857E-3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1.1511185640035515</v>
      </c>
      <c r="G342" s="1">
        <f t="shared" ref="G342:K342" si="325">SUM(G343:G357)</f>
        <v>1.2961899387323963</v>
      </c>
      <c r="H342" s="1">
        <f t="shared" si="325"/>
        <v>1.3918479297466249</v>
      </c>
      <c r="I342" s="1">
        <f>IFERROR(SUM(I343:I357),0)</f>
        <v>1.3909929147101303</v>
      </c>
      <c r="J342" s="1">
        <f t="shared" si="325"/>
        <v>2.282854505935739</v>
      </c>
      <c r="K342" s="1">
        <f t="shared" si="325"/>
        <v>1.7197489356273596</v>
      </c>
      <c r="L342" s="1">
        <f>IFERROR(SUM(L343:L357),0)</f>
        <v>2.7520370899833342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1.2990623870865148E-5</v>
      </c>
      <c r="L343" s="1">
        <f t="shared" ref="L343" si="327">L311-L327</f>
        <v>6.8096780603451547E-3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1.1131469355834772E-5</v>
      </c>
      <c r="L344" s="1">
        <f t="shared" ref="L344" si="329">L312-L328</f>
        <v>6.936095812884259E-2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3.5295534373498416E-2</v>
      </c>
      <c r="G346" s="1">
        <f t="shared" si="332"/>
        <v>9.8944198899837688E-4</v>
      </c>
      <c r="H346" s="1">
        <f t="shared" si="332"/>
        <v>6.2593161464695318E-3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2.255185386148717E-2</v>
      </c>
      <c r="G348" s="1">
        <f t="shared" si="336"/>
        <v>9.9746762314171233E-3</v>
      </c>
      <c r="H348" s="1">
        <f t="shared" si="336"/>
        <v>3.4158129260851933E-2</v>
      </c>
      <c r="I348" s="1">
        <f t="shared" si="336"/>
        <v>7.0844484548532455E-3</v>
      </c>
      <c r="J348" s="1">
        <f t="shared" si="336"/>
        <v>0.12605950573320734</v>
      </c>
      <c r="K348" s="1">
        <f t="shared" si="336"/>
        <v>0.12236089807351166</v>
      </c>
      <c r="L348" s="1">
        <f t="shared" ref="L348" si="337">L316-L332</f>
        <v>0.82477591761960645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4.8002393325908485E-2</v>
      </c>
      <c r="L349" s="1">
        <f t="shared" ref="L349" si="339">L317-L333</f>
        <v>0.34702908192765902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2.7376901372266477E-3</v>
      </c>
      <c r="G351" s="1">
        <f t="shared" si="342"/>
        <v>4.9019881953567615E-4</v>
      </c>
      <c r="H351" s="1">
        <f t="shared" si="342"/>
        <v>2.5907387612830179E-3</v>
      </c>
      <c r="I351" s="1">
        <f>IFERROR(I319-I335,0)</f>
        <v>0</v>
      </c>
      <c r="J351" s="1">
        <f t="shared" si="342"/>
        <v>1.8157331738480505E-3</v>
      </c>
      <c r="K351" s="1">
        <f t="shared" si="342"/>
        <v>1.2328036397514623E-3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3.2553364190377465E-3</v>
      </c>
      <c r="G353" s="1">
        <f t="shared" si="345"/>
        <v>6.6756862269132244E-4</v>
      </c>
      <c r="H353" s="1">
        <f t="shared" si="345"/>
        <v>3.9630108782644502E-3</v>
      </c>
      <c r="I353" s="1">
        <f t="shared" si="345"/>
        <v>0</v>
      </c>
      <c r="J353" s="1">
        <f t="shared" si="345"/>
        <v>5.510710470359774E-3</v>
      </c>
      <c r="K353" s="1">
        <f t="shared" si="345"/>
        <v>2.5171194319313006E-3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1.0647533428843095</v>
      </c>
      <c r="G355" s="1">
        <f t="shared" si="349"/>
        <v>1.2566906558847364</v>
      </c>
      <c r="H355" s="1">
        <f t="shared" si="349"/>
        <v>1.3078011392037654</v>
      </c>
      <c r="I355" s="1">
        <f t="shared" si="349"/>
        <v>1.383908466255277</v>
      </c>
      <c r="J355" s="1">
        <f t="shared" si="349"/>
        <v>2.1473491878827131</v>
      </c>
      <c r="K355" s="1">
        <f t="shared" si="349"/>
        <v>1.5448198266600734</v>
      </c>
      <c r="L355" s="1">
        <f t="shared" ref="L355" si="350">L323-L339</f>
        <v>1.5040614542468813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2.2524806327992142E-2</v>
      </c>
      <c r="G356" s="1">
        <f t="shared" si="351"/>
        <v>2.7377397185017416E-2</v>
      </c>
      <c r="H356" s="1">
        <f t="shared" si="351"/>
        <v>3.7075595495990599E-2</v>
      </c>
      <c r="I356" s="1">
        <f t="shared" si="351"/>
        <v>0</v>
      </c>
      <c r="J356" s="1">
        <f t="shared" si="351"/>
        <v>2.1193686756111121E-3</v>
      </c>
      <c r="K356" s="1">
        <f t="shared" si="351"/>
        <v>7.9177240295659674E-4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22.495592698041992</v>
      </c>
      <c r="G358" s="1">
        <f t="shared" ref="G358:K358" si="356">SUM(G359:G364)</f>
        <v>24.703746857402027</v>
      </c>
      <c r="H358" s="1">
        <f t="shared" si="356"/>
        <v>27.024424697068927</v>
      </c>
      <c r="I358" s="1">
        <f t="shared" si="356"/>
        <v>25.859022944312148</v>
      </c>
      <c r="J358" s="1">
        <f t="shared" si="356"/>
        <v>25.180596100943568</v>
      </c>
      <c r="K358" s="1">
        <f t="shared" si="356"/>
        <v>28.966031663188144</v>
      </c>
      <c r="L358" s="1">
        <f t="shared" ref="L358" si="357">SUM(L359:L364)</f>
        <v>48.103450538045749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18.203630783692468</v>
      </c>
      <c r="G359" s="1">
        <f>'[1]Electricity and CHPs_IN'!C$19</f>
        <v>20.449481328055573</v>
      </c>
      <c r="H359" s="1">
        <f>'[1]Electricity and CHPs_IN'!D$19</f>
        <v>23.37941964085519</v>
      </c>
      <c r="I359" s="1">
        <f>'[1]Electricity and CHPs_IN'!E$19</f>
        <v>21.740037121186226</v>
      </c>
      <c r="J359" s="1">
        <f>'[2]Electricity and CHPs_IN'!F$19</f>
        <v>20.958785157364463</v>
      </c>
      <c r="K359" s="1">
        <f>'[2]Electricity and CHPs_IN'!G$19</f>
        <v>15.904151537911826</v>
      </c>
      <c r="L359" s="1">
        <f>'[2]Electricity and CHPs_IN'!H$19</f>
        <v>9.7929041635856119E-3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7.7826140175472167</v>
      </c>
      <c r="L360" s="1">
        <f>'[2]Electricity and CHPs_IN'!H$20</f>
        <v>27.329380035574424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3.8975072429808311</v>
      </c>
      <c r="G361" s="1">
        <f>IFERROR(G133/SUM(G133,G198),0)*'[1]Electricity and CHPs_IN'!C$26</f>
        <v>3.8212567093944836</v>
      </c>
      <c r="H361" s="1">
        <f>IFERROR(H133/SUM(H133,H198),0)*'[1]Electricity and CHPs_IN'!D$26</f>
        <v>3.6210573285347292</v>
      </c>
      <c r="I361" s="1">
        <f>IFERROR(I133/SUM(I133,I198),0)*'[1]Electricity and CHPs_IN'!E$26</f>
        <v>4.0888133004811937</v>
      </c>
      <c r="J361" s="1">
        <f>IFERROR(J133/SUM(J133,J198),0)*'[2]Electricity and CHPs_IN'!F$26</f>
        <v>4.2154738229693498</v>
      </c>
      <c r="K361" s="1">
        <f>IFERROR(K133/SUM(K133,K198),0)*'[2]Electricity and CHPs_IN'!G$26</f>
        <v>3.8740855404023011</v>
      </c>
      <c r="L361" s="1">
        <f>IFERROR(L133/SUM(L133,L198),0)*'[2]Electricity and CHPs_IN'!H$26</f>
        <v>16.645654814053053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0.86991840894176686</v>
      </c>
      <c r="L362" s="1">
        <f>IFERROR(L134/SUM(L134,L199),0)*'[2]Electricity and CHPs_IN'!H$27</f>
        <v>2.8065202630602002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0.39445467136869372</v>
      </c>
      <c r="G363" s="1">
        <f>IFERROR(G135/SUM(G135,G274),0)*'[1]Electricity and CHPs_IN'!C$44</f>
        <v>0.43300881995197105</v>
      </c>
      <c r="H363" s="1">
        <f>IFERROR(H135/SUM(H135,H274),0)*'[1]Electricity and CHPs_IN'!D$44</f>
        <v>2.394772767900772E-2</v>
      </c>
      <c r="I363" s="1">
        <f>IFERROR(I135/SUM(I135,I274),0)*'[1]Electricity and CHPs_IN'!E$44</f>
        <v>3.0172522644727841E-2</v>
      </c>
      <c r="J363" s="1">
        <f>IFERROR(J135/SUM(J135,J274),0)*'[2]Electricity and CHPs_IN'!F$44</f>
        <v>6.3371206097525366E-3</v>
      </c>
      <c r="K363" s="1">
        <f>IFERROR(K135/SUM(K135,K274),0)*'[2]Electricity and CHPs_IN'!G$44</f>
        <v>3.7418156853798725E-3</v>
      </c>
      <c r="L363" s="1">
        <f>IFERROR(L135/SUM(L135,L274),0)*'[2]Electricity and CHPs_IN'!H$44</f>
        <v>1.0044666689797881E-3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0.53152034269964954</v>
      </c>
      <c r="L364" s="1">
        <f>IFERROR(L136/SUM(L136,L275),0)*'[2]Electricity and CHPs_IN'!H$45</f>
        <v>1.3110980545255013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11.050569013336652</v>
      </c>
      <c r="G365" s="1">
        <f t="shared" ref="G365:K365" si="358">SUM(G366:G369)</f>
        <v>12.135369018725026</v>
      </c>
      <c r="H365" s="1">
        <f t="shared" si="358"/>
        <v>13.500238484694959</v>
      </c>
      <c r="I365" s="1">
        <f t="shared" si="358"/>
        <v>12.914425210833709</v>
      </c>
      <c r="J365" s="1">
        <f t="shared" si="358"/>
        <v>12.587129490166907</v>
      </c>
      <c r="K365" s="1">
        <f t="shared" si="358"/>
        <v>14.215384752401555</v>
      </c>
      <c r="L365" s="1">
        <f t="shared" ref="L365" si="359">SUM(L366:L369)</f>
        <v>23.395674008425633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9.1018153918462357</v>
      </c>
      <c r="G366" s="1">
        <f t="shared" ref="G366:K366" si="360">G359*IFERROR(G138/G131,0)</f>
        <v>10.224740664027784</v>
      </c>
      <c r="H366" s="1">
        <f t="shared" si="360"/>
        <v>11.689709820427595</v>
      </c>
      <c r="I366" s="1">
        <f t="shared" si="360"/>
        <v>10.870018560593113</v>
      </c>
      <c r="J366" s="1">
        <f t="shared" si="360"/>
        <v>10.479392578682232</v>
      </c>
      <c r="K366" s="1">
        <f t="shared" si="360"/>
        <v>7.9520757689559129</v>
      </c>
      <c r="L366" s="1">
        <f t="shared" ref="L366" si="361">L359*IFERROR(L138/L131,0)</f>
        <v>4.896452081792806E-3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3.8913070087736075</v>
      </c>
      <c r="L367" s="1">
        <f t="shared" ref="L367" si="363">L360*IFERROR(L139/L132,0)</f>
        <v>13.664690017787212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1.9487536214904155</v>
      </c>
      <c r="G368" s="1">
        <f t="shared" si="364"/>
        <v>1.9106283546972418</v>
      </c>
      <c r="H368" s="1">
        <f t="shared" si="364"/>
        <v>1.8105286642673646</v>
      </c>
      <c r="I368" s="1">
        <f t="shared" si="364"/>
        <v>2.0444066502405969</v>
      </c>
      <c r="J368" s="1">
        <f t="shared" si="364"/>
        <v>2.1077369114846749</v>
      </c>
      <c r="K368" s="1">
        <f t="shared" si="364"/>
        <v>1.9370427702011506</v>
      </c>
      <c r="L368" s="1">
        <f t="shared" ref="L368" si="365">L361*IFERROR(L140/L133,0)</f>
        <v>8.3228274070265265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0.43495920447088343</v>
      </c>
      <c r="L369" s="1">
        <f t="shared" ref="L369" si="367">L362*IFERROR(L141/L134,0)</f>
        <v>1.4032601315301003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11.445023684705342</v>
      </c>
      <c r="G372" s="1">
        <f t="shared" ref="G372:K372" si="372">SUM(G373:G378)</f>
        <v>12.568377838676998</v>
      </c>
      <c r="H372" s="1">
        <f t="shared" si="372"/>
        <v>13.524186212373968</v>
      </c>
      <c r="I372" s="1">
        <f t="shared" si="372"/>
        <v>12.944597733478437</v>
      </c>
      <c r="J372" s="1">
        <f t="shared" si="372"/>
        <v>12.593466610776659</v>
      </c>
      <c r="K372" s="1">
        <f t="shared" si="372"/>
        <v>14.750646910786585</v>
      </c>
      <c r="L372" s="1">
        <f t="shared" ref="L372" si="373">SUM(L373:L378)</f>
        <v>24.707776529620116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9.1018153918462339</v>
      </c>
      <c r="G373" s="1">
        <f t="shared" si="374"/>
        <v>10.224740664027786</v>
      </c>
      <c r="H373" s="1">
        <f t="shared" si="374"/>
        <v>11.689709820427595</v>
      </c>
      <c r="I373" s="1">
        <f t="shared" si="374"/>
        <v>10.870018560593113</v>
      </c>
      <c r="J373" s="1">
        <f t="shared" si="374"/>
        <v>10.479392578682232</v>
      </c>
      <c r="K373" s="1">
        <f t="shared" si="374"/>
        <v>7.9520757689559129</v>
      </c>
      <c r="L373" s="1">
        <f t="shared" ref="L373" si="375">L366*IFERROR(L145/L138,0)</f>
        <v>4.896452081792806E-3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3.8913070087736092</v>
      </c>
      <c r="L374" s="1">
        <f t="shared" ref="L374" si="377">L367*IFERROR(L146/L139,0)</f>
        <v>13.664690017787212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1.9487536214904155</v>
      </c>
      <c r="G375" s="1">
        <f t="shared" si="378"/>
        <v>1.9106283546972418</v>
      </c>
      <c r="H375" s="1">
        <f t="shared" si="378"/>
        <v>1.8105286642673646</v>
      </c>
      <c r="I375" s="1">
        <f t="shared" si="378"/>
        <v>2.0444066502405969</v>
      </c>
      <c r="J375" s="1">
        <f t="shared" si="378"/>
        <v>2.1077369114846749</v>
      </c>
      <c r="K375" s="1">
        <f t="shared" si="378"/>
        <v>1.9370427702011506</v>
      </c>
      <c r="L375" s="1">
        <f t="shared" ref="L375" si="379">L368*IFERROR(L147/L140,0)</f>
        <v>8.3228274070265265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0.43495920447088343</v>
      </c>
      <c r="L376" s="1">
        <f t="shared" ref="L376" si="381">L369*IFERROR(L148/L141,0)</f>
        <v>1.4032601315300999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0.39445467136869372</v>
      </c>
      <c r="G377" s="1">
        <f t="shared" ref="G377:K377" si="382">G363</f>
        <v>0.43300881995197105</v>
      </c>
      <c r="H377" s="1">
        <f t="shared" si="382"/>
        <v>2.394772767900772E-2</v>
      </c>
      <c r="I377" s="1">
        <f t="shared" si="382"/>
        <v>3.0172522644727841E-2</v>
      </c>
      <c r="J377" s="1">
        <f t="shared" si="382"/>
        <v>6.3371206097525366E-3</v>
      </c>
      <c r="K377" s="1">
        <f t="shared" si="382"/>
        <v>3.7418156853798725E-3</v>
      </c>
      <c r="L377" s="1">
        <f t="shared" ref="L377" si="383">L363</f>
        <v>1.0044666689797881E-3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0.53152034269964954</v>
      </c>
      <c r="L378" s="1">
        <f t="shared" ref="L378" si="385">L364</f>
        <v>1.3110980545255013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0.18165528715321963</v>
      </c>
      <c r="G379" s="1">
        <f t="shared" ref="G379:K379" si="386">SUM(G380:G386)</f>
        <v>0.39880877077936833</v>
      </c>
      <c r="H379" s="1">
        <f t="shared" si="386"/>
        <v>1.1801065689945827</v>
      </c>
      <c r="I379" s="1">
        <f t="shared" si="386"/>
        <v>2.4707913727888386</v>
      </c>
      <c r="J379" s="1">
        <f t="shared" si="386"/>
        <v>3.6487522708654003</v>
      </c>
      <c r="K379" s="1">
        <f t="shared" si="386"/>
        <v>4.2088412570388778</v>
      </c>
      <c r="L379" s="1">
        <f t="shared" ref="L379" si="387">SUM(L380:L386)</f>
        <v>8.247885546509373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7.5971511517630209E-4</v>
      </c>
      <c r="G380" s="1">
        <f>IFERROR(G152/SUM(G152,G207),0)*'[1]Electricity and CHPs_IN'!C$25</f>
        <v>4.6793035404071583E-4</v>
      </c>
      <c r="H380" s="1">
        <f>IFERROR(H152/SUM(H152,H207),0)*'[1]Electricity and CHPs_IN'!D$25</f>
        <v>7.7363872484923748E-4</v>
      </c>
      <c r="I380" s="1">
        <f>IFERROR(I152/SUM(I152,I207),0)*'[1]Electricity and CHPs_IN'!E$25</f>
        <v>5.6459674464534711E-2</v>
      </c>
      <c r="J380" s="1">
        <f>IFERROR(J152/SUM(J152,J207),0)*'[2]Electricity and CHPs_IN'!F$25</f>
        <v>0.71767644113060425</v>
      </c>
      <c r="K380" s="1">
        <f>IFERROR(K152/SUM(K152,K207),0)*'[2]Electricity and CHPs_IN'!G$25</f>
        <v>0.84651603594723168</v>
      </c>
      <c r="L380" s="1">
        <f>IFERROR(L152/SUM(L152,L207),0)*'[2]Electricity and CHPs_IN'!H$25</f>
        <v>1.0133907335270107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8.8828169177910428E-3</v>
      </c>
      <c r="L381" s="1">
        <f>'[2]Electricity and CHPs_IN'!H$31</f>
        <v>3.8756501907343832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0.18089557203804332</v>
      </c>
      <c r="G382" s="1">
        <f>IFERROR(G154/SUM(G154,G283),0)*'[1]Electricity and CHPs_IN'!C$42</f>
        <v>0.39834084042532764</v>
      </c>
      <c r="H382" s="1">
        <f>IFERROR(H154/SUM(H154,H283),0)*'[1]Electricity and CHPs_IN'!D$42</f>
        <v>1.1793329302697335</v>
      </c>
      <c r="I382" s="1">
        <f>IFERROR(I154/SUM(I154,I283),0)*'[1]Electricity and CHPs_IN'!E$42</f>
        <v>2.4143316983243039</v>
      </c>
      <c r="J382" s="1">
        <f>IFERROR(J154/SUM(J154,J283),0)*'[2]Electricity and CHPs_IN'!F$42</f>
        <v>2.5569705539624357</v>
      </c>
      <c r="K382" s="1">
        <f>IFERROR(K154/SUM(K154,K283),0)*'[2]Electricity and CHPs_IN'!G$42</f>
        <v>2.319465282887625</v>
      </c>
      <c r="L382" s="1">
        <f>IFERROR(L154/SUM(L154,L283),0)*'[2]Electricity and CHPs_IN'!H$42</f>
        <v>1.9904982272530598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0.27153791246200426</v>
      </c>
      <c r="L383" s="1">
        <f>IFERROR(L155/SUM(L155,L284),0)*'[2]Electricity and CHPs_IN'!H$43</f>
        <v>1.0797247041589868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8.7290623281793388E-3</v>
      </c>
      <c r="K384" s="1">
        <f>IFERROR(K156/SUM(K285,K156),0)*'[2]Electricity and CHPs_IN'!G$50</f>
        <v>8.5076922494776979E-3</v>
      </c>
      <c r="L384" s="1">
        <f>IFERROR(L156/SUM(L285,L156),0)*'[2]Electricity and CHPs_IN'!H$50</f>
        <v>3.4055395852049938E-3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0.36001475052734949</v>
      </c>
      <c r="K385" s="1">
        <f>IFERROR(K157/SUM(K286,K157),0)*'[2]Electricity and CHPs_IN'!G$53</f>
        <v>0.75109553407513641</v>
      </c>
      <c r="L385" s="1">
        <f>IFERROR(L157/SUM(L286,L157),0)*'[2]Electricity and CHPs_IN'!H$53</f>
        <v>0.28400703251395443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5.3614629168316523E-3</v>
      </c>
      <c r="K386" s="1">
        <f>IFERROR(K158/SUM(K287,K158),0)*'[2]Electricity and CHPs_IN'!G$56</f>
        <v>2.8359824996128831E-3</v>
      </c>
      <c r="L386" s="1">
        <f>IFERROR(L158/SUM(L287,L158),0)*'[2]Electricity and CHPs_IN'!H$56</f>
        <v>1.2091187367722193E-3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0.54530775595618142</v>
      </c>
      <c r="H387" s="1">
        <f t="shared" si="388"/>
        <v>0.50318035428973074</v>
      </c>
      <c r="I387" s="1">
        <f t="shared" si="388"/>
        <v>2.0503052471689203</v>
      </c>
      <c r="J387" s="1">
        <f t="shared" si="388"/>
        <v>3.6359078303036996</v>
      </c>
      <c r="K387" s="1">
        <f t="shared" si="388"/>
        <v>7.1993529207808624</v>
      </c>
      <c r="L387" s="1">
        <f t="shared" si="388"/>
        <v>21.925692576183096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0.54530775595618142</v>
      </c>
      <c r="H388" s="1">
        <f>'[1]Electricity and CHPs_IN'!D$33</f>
        <v>0.50318035428973074</v>
      </c>
      <c r="I388" s="1">
        <f>'[1]Electricity and CHPs_IN'!E$33</f>
        <v>2.0503052471689203</v>
      </c>
      <c r="J388" s="1">
        <f>'[2]Electricity and CHPs_IN'!F$33</f>
        <v>3.6359078303036996</v>
      </c>
      <c r="K388" s="1">
        <f>'[2]Electricity and CHPs_IN'!G$33</f>
        <v>7.1993529207808624</v>
      </c>
      <c r="L388" s="1">
        <f>'[2]Electricity and CHPs_IN'!H$33</f>
        <v>21.925692576183096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12.823119108238448</v>
      </c>
      <c r="H389" s="1">
        <f t="shared" si="389"/>
        <v>28.80018917143267</v>
      </c>
      <c r="I389" s="1">
        <f t="shared" si="389"/>
        <v>52.309468048653898</v>
      </c>
      <c r="J389" s="1">
        <f t="shared" si="389"/>
        <v>59.183354891256577</v>
      </c>
      <c r="K389" s="1">
        <f t="shared" si="389"/>
        <v>130.06461258173948</v>
      </c>
      <c r="L389" s="1">
        <f t="shared" ref="L389" si="390">SUM(L390:L394)</f>
        <v>148.55822205348213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0.14061592372971998</v>
      </c>
      <c r="I390" s="1">
        <f>'[1]Electricity and CHPs_IN'!E34</f>
        <v>0.57957701760343749</v>
      </c>
      <c r="J390" s="1">
        <f>'[2]Electricity and CHPs_IN'!F34</f>
        <v>2.1017921774747581</v>
      </c>
      <c r="K390" s="1">
        <f>'[2]Electricity and CHPs_IN'!G34</f>
        <v>20.807704349513344</v>
      </c>
      <c r="L390" s="1">
        <f>'[2]Electricity and CHPs_IN'!H34</f>
        <v>27.762573350384329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4.8486281142671022</v>
      </c>
      <c r="H391" s="1">
        <f>'[1]Electricity and CHPs_IN'!D35</f>
        <v>11.161305651766572</v>
      </c>
      <c r="I391" s="1">
        <f>'[1]Electricity and CHPs_IN'!E35</f>
        <v>19.477151131911679</v>
      </c>
      <c r="J391" s="1">
        <f>'[2]Electricity and CHPs_IN'!F35</f>
        <v>22.482467503971549</v>
      </c>
      <c r="K391" s="1">
        <f>'[2]Electricity and CHPs_IN'!G35</f>
        <v>40.847642199504989</v>
      </c>
      <c r="L391" s="1">
        <f>'[2]Electricity and CHPs_IN'!H35</f>
        <v>45.121216578743599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3.3914827647697323</v>
      </c>
      <c r="H392" s="1">
        <f>'[1]Electricity and CHPs_IN'!D36</f>
        <v>4.6620329377745984</v>
      </c>
      <c r="I392" s="1">
        <f>'[1]Electricity and CHPs_IN'!E36</f>
        <v>11.187020787587855</v>
      </c>
      <c r="J392" s="1">
        <f>'[2]Electricity and CHPs_IN'!F36</f>
        <v>11.802083835542931</v>
      </c>
      <c r="K392" s="1">
        <f>'[2]Electricity and CHPs_IN'!G36</f>
        <v>12.452302987105362</v>
      </c>
      <c r="L392" s="1">
        <f>'[2]Electricity and CHPs_IN'!H36</f>
        <v>13.863122449251357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1.2885477144662159</v>
      </c>
      <c r="H393" s="1">
        <f>'[1]Electricity and CHPs_IN'!D37</f>
        <v>2.869986314729239</v>
      </c>
      <c r="I393" s="1">
        <f>'[1]Electricity and CHPs_IN'!E37</f>
        <v>3.1633710222567237</v>
      </c>
      <c r="J393" s="1">
        <f>'[2]Electricity and CHPs_IN'!F37</f>
        <v>3.9814351276249642</v>
      </c>
      <c r="K393" s="1">
        <f>'[2]Electricity and CHPs_IN'!G37</f>
        <v>15.480090646145115</v>
      </c>
      <c r="L393" s="1">
        <f>'[2]Electricity and CHPs_IN'!H37</f>
        <v>17.099656928443352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3.2944605147353974</v>
      </c>
      <c r="H394" s="1">
        <f>'[1]Electricity and CHPs_IN'!D38</f>
        <v>9.9662483434325413</v>
      </c>
      <c r="I394" s="1">
        <f>'[1]Electricity and CHPs_IN'!E38</f>
        <v>17.9023480892942</v>
      </c>
      <c r="J394" s="1">
        <f>'[2]Electricity and CHPs_IN'!F38</f>
        <v>18.815576246642379</v>
      </c>
      <c r="K394" s="1">
        <f>'[2]Electricity and CHPs_IN'!G38</f>
        <v>40.476872399470693</v>
      </c>
      <c r="L394" s="1">
        <f>'[2]Electricity and CHPs_IN'!H38</f>
        <v>44.711652746659489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0.32191544117571202</v>
      </c>
      <c r="L396" s="1">
        <f>'[2]Electricity and CHPs_IN'!H$32</f>
        <v>9.010984346941088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4.9886898971186151E-2</v>
      </c>
      <c r="J397" s="1">
        <f t="shared" ref="J397" si="395">SUM(J398:J400)</f>
        <v>2.4739576731732216E-2</v>
      </c>
      <c r="K397" s="1">
        <f t="shared" ref="K397:L397" si="396">SUM(K398:K400)</f>
        <v>0.19419418285884596</v>
      </c>
      <c r="L397" s="1">
        <f t="shared" si="396"/>
        <v>0.62287980202257942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7.4959694307926931E-3</v>
      </c>
      <c r="L398" s="1">
        <f>IFERROR(L170/SUM(L170,L209),0)*'[2]Electricity and CHPs_IN'!H$30</f>
        <v>0.37146081473458109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1.6113896424351671E-2</v>
      </c>
      <c r="K399" s="1">
        <f>IFERROR(K171/SUM(K171,K289),0)*'[2]Electricity and CHPs_IN'!G$46</f>
        <v>0.17459937076724635</v>
      </c>
      <c r="L399" s="1">
        <f>IFERROR(L171/SUM(L171,L289),0)*'[2]Electricity and CHPs_IN'!H$46</f>
        <v>0.23583013683017717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4.9886898971186151E-2</v>
      </c>
      <c r="J400" s="1">
        <f>IFERROR(J172/SUM(J172,J290),0)*'[2]Electricity and CHPs_IN'!F$57</f>
        <v>8.625680307380543E-3</v>
      </c>
      <c r="K400" s="1">
        <f>IFERROR(K172/SUM(K172,K290),0)*'[2]Electricity and CHPs_IN'!G$57</f>
        <v>1.2098842660806911E-2</v>
      </c>
      <c r="L400" s="1">
        <f>IFERROR(L172/SUM(L172,L290),0)*'[2]Electricity and CHPs_IN'!H$57</f>
        <v>1.5588850457821182E-2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0.45593306032952807</v>
      </c>
      <c r="G401" s="1">
        <f t="shared" ref="G401:K401" si="397">SUM(G402:G408)</f>
        <v>0.3652829847079232</v>
      </c>
      <c r="H401" s="1">
        <f t="shared" si="397"/>
        <v>1.0006392560522566</v>
      </c>
      <c r="I401" s="1">
        <f t="shared" si="397"/>
        <v>2.3754145349072311</v>
      </c>
      <c r="J401" s="1">
        <f t="shared" si="397"/>
        <v>2.0262539550674257</v>
      </c>
      <c r="K401" s="1">
        <f t="shared" si="397"/>
        <v>4.4281144733598055</v>
      </c>
      <c r="L401" s="1">
        <f t="shared" ref="L401" si="398">SUM(L402:L408)</f>
        <v>8.2914232419341634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0.14259270360686971</v>
      </c>
      <c r="G402" s="1">
        <f>'[1]Electricity and CHPs_IN'!C63</f>
        <v>6.7111088028825455E-2</v>
      </c>
      <c r="H402" s="1">
        <f>'[1]Electricity and CHPs_IN'!D63</f>
        <v>9.591150856597179E-2</v>
      </c>
      <c r="I402" s="1">
        <f>'[1]Electricity and CHPs_IN'!E63</f>
        <v>0.13523474292896367</v>
      </c>
      <c r="J402" s="1">
        <f>'[2]Electricity and CHPs_IN'!F63</f>
        <v>5.0962365732408622E-2</v>
      </c>
      <c r="K402" s="1">
        <f>'[2]Electricity and CHPs_IN'!G63</f>
        <v>2.9085268794121846E-2</v>
      </c>
      <c r="L402" s="1">
        <f>'[2]Electricity and CHPs_IN'!H63</f>
        <v>0.13488217572472258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7.568817361514843E-2</v>
      </c>
      <c r="G403" s="1">
        <f>'[1]Electricity and CHPs_IN'!C64</f>
        <v>7.1510951842750053E-2</v>
      </c>
      <c r="H403" s="1">
        <f>'[1]Electricity and CHPs_IN'!D64</f>
        <v>7.3281443349705988E-2</v>
      </c>
      <c r="I403" s="1">
        <f>'[1]Electricity and CHPs_IN'!E64</f>
        <v>0.21589922497023142</v>
      </c>
      <c r="J403" s="1">
        <f>'[2]Electricity and CHPs_IN'!F64</f>
        <v>0.18949243662099308</v>
      </c>
      <c r="K403" s="1">
        <f>'[2]Electricity and CHPs_IN'!G64</f>
        <v>1.7877004238148997</v>
      </c>
      <c r="L403" s="1">
        <f>'[2]Electricity and CHPs_IN'!H64</f>
        <v>2.9446994206140209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7.3999378163524338E-2</v>
      </c>
      <c r="G404" s="1">
        <f>'[1]Electricity and CHPs_IN'!C65</f>
        <v>6.2665356006377029E-2</v>
      </c>
      <c r="H404" s="1">
        <f>'[1]Electricity and CHPs_IN'!D65</f>
        <v>6.4617068089746862E-2</v>
      </c>
      <c r="I404" s="1">
        <f>'[1]Electricity and CHPs_IN'!E65</f>
        <v>0.14298741531296721</v>
      </c>
      <c r="J404" s="1">
        <f>'[2]Electricity and CHPs_IN'!F65</f>
        <v>0.1335458823927323</v>
      </c>
      <c r="K404" s="1">
        <f>'[2]Electricity and CHPs_IN'!G65</f>
        <v>0.63846195408731121</v>
      </c>
      <c r="L404" s="1">
        <f>'[2]Electricity and CHPs_IN'!H65</f>
        <v>2.5219234522102965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2.6988860836167975E-2</v>
      </c>
      <c r="G405" s="1">
        <f>'[1]Electricity and CHPs_IN'!C66</f>
        <v>2.7063249737833448E-2</v>
      </c>
      <c r="H405" s="1">
        <f>'[1]Electricity and CHPs_IN'!D66</f>
        <v>0.14563440610302489</v>
      </c>
      <c r="I405" s="1">
        <f>'[1]Electricity and CHPs_IN'!E66</f>
        <v>0.31014545012189976</v>
      </c>
      <c r="J405" s="1">
        <f>'[2]Electricity and CHPs_IN'!F66</f>
        <v>0.30382771962696886</v>
      </c>
      <c r="K405" s="1">
        <f>'[2]Electricity and CHPs_IN'!G66</f>
        <v>0.36252675538301199</v>
      </c>
      <c r="L405" s="1">
        <f>'[2]Electricity and CHPs_IN'!H66</f>
        <v>0.48184673323784583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5.6926372581146967E-2</v>
      </c>
      <c r="G406" s="1">
        <f>'[1]Electricity and CHPs_IN'!C67</f>
        <v>5.7040408185467774E-2</v>
      </c>
      <c r="H406" s="1">
        <f>'[1]Electricity and CHPs_IN'!D67</f>
        <v>0.31627214219597655</v>
      </c>
      <c r="I406" s="1">
        <f>'[1]Electricity and CHPs_IN'!E67</f>
        <v>0.90312027066322043</v>
      </c>
      <c r="J406" s="1">
        <f>'[2]Electricity and CHPs_IN'!F67</f>
        <v>0.74993901477260849</v>
      </c>
      <c r="K406" s="1">
        <f>'[2]Electricity and CHPs_IN'!G67</f>
        <v>0.56640627166816726</v>
      </c>
      <c r="L406" s="1">
        <f>'[2]Electricity and CHPs_IN'!H67</f>
        <v>0.77820393577313807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5.1671772909639355E-2</v>
      </c>
      <c r="G407" s="1">
        <f>'[1]Electricity and CHPs_IN'!C68</f>
        <v>5.1777503542751388E-2</v>
      </c>
      <c r="H407" s="1">
        <f>'[1]Electricity and CHPs_IN'!D68</f>
        <v>9.8830390023417036E-2</v>
      </c>
      <c r="I407" s="1">
        <f>'[1]Electricity and CHPs_IN'!E68</f>
        <v>0.10145308080786458</v>
      </c>
      <c r="J407" s="1">
        <f>'[2]Electricity and CHPs_IN'!F68</f>
        <v>0.1115922917144276</v>
      </c>
      <c r="K407" s="1">
        <f>'[2]Electricity and CHPs_IN'!G68</f>
        <v>0.27981434141344347</v>
      </c>
      <c r="L407" s="1">
        <f>'[2]Electricity and CHPs_IN'!H68</f>
        <v>0.39871521044300134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2.8065798617031283E-2</v>
      </c>
      <c r="G408" s="1">
        <f>'[1]Electricity and CHPs_IN'!C69</f>
        <v>2.8114427363918042E-2</v>
      </c>
      <c r="H408" s="1">
        <f>'[1]Electricity and CHPs_IN'!D69</f>
        <v>0.20609229772441351</v>
      </c>
      <c r="I408" s="1">
        <f>'[1]Electricity and CHPs_IN'!E69</f>
        <v>0.56657435010208379</v>
      </c>
      <c r="J408" s="1">
        <f>'[2]Electricity and CHPs_IN'!F69</f>
        <v>0.48689424420728689</v>
      </c>
      <c r="K408" s="1">
        <f>'[2]Electricity and CHPs_IN'!G69</f>
        <v>0.76411945819885041</v>
      </c>
      <c r="L408" s="1">
        <f>'[2]Electricity and CHPs_IN'!H69</f>
        <v>1.03115231393114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57.475195483232667</v>
      </c>
      <c r="G409" s="3">
        <f t="shared" ref="G409:K409" si="400">G410+G463</f>
        <v>55.696891609503069</v>
      </c>
      <c r="H409" s="3">
        <f t="shared" si="400"/>
        <v>51.48717977046428</v>
      </c>
      <c r="I409" s="3">
        <f>IFERROR(I410+I463,0)</f>
        <v>54.282077350298124</v>
      </c>
      <c r="J409" s="3">
        <f t="shared" si="400"/>
        <v>58.452106275955451</v>
      </c>
      <c r="K409" s="3">
        <f t="shared" si="400"/>
        <v>62.929241609593007</v>
      </c>
      <c r="L409" s="3">
        <f>IFERROR(L410+L463,0)</f>
        <v>54.747096603921847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48.72509165178743</v>
      </c>
      <c r="G410" s="1">
        <f t="shared" si="401"/>
        <v>47.038589919489624</v>
      </c>
      <c r="H410" s="1">
        <f t="shared" si="401"/>
        <v>43.736523460421296</v>
      </c>
      <c r="I410" s="1">
        <f t="shared" si="401"/>
        <v>46.653960257245302</v>
      </c>
      <c r="J410" s="1">
        <f t="shared" si="401"/>
        <v>47.971018732553489</v>
      </c>
      <c r="K410" s="1">
        <f t="shared" si="401"/>
        <v>50.163739824321951</v>
      </c>
      <c r="L410" s="1">
        <f t="shared" ref="L410" si="402">L411+L440</f>
        <v>38.180029366648512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39.159992071789503</v>
      </c>
      <c r="G411" s="1">
        <f t="shared" ref="G411:K411" si="403">SUM(G412,G418,G427,G436,G438)</f>
        <v>35.294048680785792</v>
      </c>
      <c r="H411" s="1">
        <f t="shared" si="403"/>
        <v>33.382339720136002</v>
      </c>
      <c r="I411" s="1">
        <f t="shared" si="403"/>
        <v>36.919727324915101</v>
      </c>
      <c r="J411" s="1">
        <f t="shared" si="403"/>
        <v>38.191598024151396</v>
      </c>
      <c r="K411" s="1">
        <f t="shared" si="403"/>
        <v>41.324226393506216</v>
      </c>
      <c r="L411" s="1">
        <f t="shared" ref="L411" si="404">SUM(L412,L418,L427,L436,L438)</f>
        <v>28.320598502768071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0.11394369058779703</v>
      </c>
      <c r="G412" s="1">
        <f t="shared" ref="G412:L412" si="405">G413</f>
        <v>0.26267656975551534</v>
      </c>
      <c r="H412" s="1">
        <f t="shared" si="405"/>
        <v>8.1957260329040854E-2</v>
      </c>
      <c r="I412" s="1">
        <f t="shared" si="405"/>
        <v>1.6429054759685043E-2</v>
      </c>
      <c r="J412" s="1">
        <f t="shared" si="405"/>
        <v>1.2245750532773547E-2</v>
      </c>
      <c r="K412" s="1">
        <f t="shared" si="405"/>
        <v>5.1940329269178085E-3</v>
      </c>
      <c r="L412" s="1">
        <f t="shared" si="405"/>
        <v>9.6584534871772614E-5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0.11394369058779703</v>
      </c>
      <c r="G413" s="1">
        <f>'[1]Electricity and CHPs_IN'!C$28-G300</f>
        <v>0.26267656975551534</v>
      </c>
      <c r="H413" s="1">
        <f>'[1]Electricity and CHPs_IN'!D$28-H300</f>
        <v>8.1957260329040854E-2</v>
      </c>
      <c r="I413" s="1">
        <f>'[1]Electricity and CHPs_IN'!E$28-I300</f>
        <v>1.6429054759685043E-2</v>
      </c>
      <c r="J413" s="1">
        <f>'[2]Electricity and CHPs_IN'!F$28-J300</f>
        <v>1.2245750532773547E-2</v>
      </c>
      <c r="K413" s="1">
        <f>'[2]Electricity and CHPs_IN'!G$28-K300</f>
        <v>5.1940329269178085E-3</v>
      </c>
      <c r="L413" s="1">
        <f>'[2]Electricity and CHPs_IN'!H$28-L300</f>
        <v>9.6584534871772614E-5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0.11394369058779703</v>
      </c>
      <c r="G414" s="1">
        <f t="shared" ref="G414:L414" si="406">G415</f>
        <v>0.26267656975551534</v>
      </c>
      <c r="H414" s="1">
        <f t="shared" si="406"/>
        <v>8.1957260329040854E-2</v>
      </c>
      <c r="I414" s="1">
        <f t="shared" si="406"/>
        <v>1.6429054759685043E-2</v>
      </c>
      <c r="J414" s="1">
        <f t="shared" si="406"/>
        <v>1.2245750532773547E-2</v>
      </c>
      <c r="K414" s="1">
        <f t="shared" si="406"/>
        <v>5.1940329269178085E-3</v>
      </c>
      <c r="L414" s="1">
        <f t="shared" si="406"/>
        <v>9.6584534871772614E-5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0.11394369058779703</v>
      </c>
      <c r="G415" s="1">
        <f t="shared" ref="G415:K415" si="407">G413-G417</f>
        <v>0.26267656975551534</v>
      </c>
      <c r="H415" s="1">
        <f t="shared" si="407"/>
        <v>8.1957260329040854E-2</v>
      </c>
      <c r="I415" s="1">
        <f t="shared" si="407"/>
        <v>1.6429054759685043E-2</v>
      </c>
      <c r="J415" s="1">
        <f t="shared" si="407"/>
        <v>1.2245750532773547E-2</v>
      </c>
      <c r="K415" s="1">
        <f t="shared" si="407"/>
        <v>5.1940329269178085E-3</v>
      </c>
      <c r="L415" s="1">
        <f t="shared" ref="L415" si="408">L413-L417</f>
        <v>9.6584534871772614E-5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2.6115575313193276</v>
      </c>
      <c r="G418" s="1">
        <f t="shared" ref="G418:K418" si="412">SUM(G419:G420)</f>
        <v>5.502911676430515E-2</v>
      </c>
      <c r="H418" s="1">
        <f t="shared" si="412"/>
        <v>0.23209696323223797</v>
      </c>
      <c r="I418" s="1">
        <f t="shared" si="412"/>
        <v>0</v>
      </c>
      <c r="J418" s="1">
        <f t="shared" si="412"/>
        <v>0</v>
      </c>
      <c r="K418" s="1">
        <f t="shared" si="412"/>
        <v>0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2.6115575313193276</v>
      </c>
      <c r="G419" s="1">
        <f>'[1]Electricity and CHPs_IN'!C$24-G314</f>
        <v>5.502911676430515E-2</v>
      </c>
      <c r="H419" s="1">
        <f>'[1]Electricity and CHPs_IN'!D$24-H314</f>
        <v>0.23209696323223797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2.5456515650766312</v>
      </c>
      <c r="G421" s="1">
        <f t="shared" ref="G421:K421" si="414">SUM(G422:G423)</f>
        <v>5.3127849597454875E-2</v>
      </c>
      <c r="H421" s="1">
        <f t="shared" si="414"/>
        <v>0.21955957629196063</v>
      </c>
      <c r="I421" s="1">
        <f t="shared" si="414"/>
        <v>0</v>
      </c>
      <c r="J421" s="1">
        <f t="shared" si="414"/>
        <v>0</v>
      </c>
      <c r="K421" s="1">
        <f t="shared" si="414"/>
        <v>0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2.5456515650766312</v>
      </c>
      <c r="G422" s="1">
        <f t="shared" ref="G422:K422" si="416">G419-G425</f>
        <v>5.3127849597454875E-2</v>
      </c>
      <c r="H422" s="1">
        <f t="shared" si="416"/>
        <v>0.21955957629196063</v>
      </c>
      <c r="I422" s="1">
        <f t="shared" si="416"/>
        <v>0</v>
      </c>
      <c r="J422" s="1">
        <f t="shared" si="416"/>
        <v>0</v>
      </c>
      <c r="K422" s="1">
        <f t="shared" si="416"/>
        <v>0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6.5905966242696429E-2</v>
      </c>
      <c r="G424" s="1">
        <f t="shared" ref="G424:K424" si="420">SUM(G425:G426)</f>
        <v>1.901267166850275E-3</v>
      </c>
      <c r="H424" s="1">
        <f t="shared" si="420"/>
        <v>1.2537386940277336E-2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6.5905966242696429E-2</v>
      </c>
      <c r="G425" s="1">
        <f t="shared" ref="G425:K425" si="422">IFERROR(G346/G314,0)*G419</f>
        <v>1.901267166850275E-3</v>
      </c>
      <c r="H425" s="1">
        <f t="shared" si="422"/>
        <v>1.2537386940277336E-2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36.420746654922482</v>
      </c>
      <c r="G427" s="1">
        <f t="shared" ref="G427:K427" si="426">SUM(G428:G429)</f>
        <v>34.943729025239783</v>
      </c>
      <c r="H427" s="1">
        <f t="shared" si="426"/>
        <v>33.024879865498576</v>
      </c>
      <c r="I427" s="1">
        <f t="shared" si="426"/>
        <v>36.747664706893453</v>
      </c>
      <c r="J427" s="1">
        <f t="shared" si="426"/>
        <v>36.302101984697835</v>
      </c>
      <c r="K427" s="1">
        <f t="shared" si="426"/>
        <v>39.049534305047274</v>
      </c>
      <c r="L427" s="1">
        <f t="shared" ref="L427" si="427">SUM(L428:L429)</f>
        <v>25.155707478363201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36.420746654922482</v>
      </c>
      <c r="G428" s="1">
        <f>'[1]Electricity and CHPs_IN'!C$26-G361</f>
        <v>34.943729025239783</v>
      </c>
      <c r="H428" s="1">
        <f>'[1]Electricity and CHPs_IN'!D$26-H361</f>
        <v>33.024879865498576</v>
      </c>
      <c r="I428" s="1">
        <f>'[1]Electricity and CHPs_IN'!E$26-I361</f>
        <v>36.747664706893453</v>
      </c>
      <c r="J428" s="1">
        <f>'[2]Electricity and CHPs_IN'!F$26-J361</f>
        <v>36.302101984697835</v>
      </c>
      <c r="K428" s="1">
        <f>'[2]Electricity and CHPs_IN'!G$26-K361</f>
        <v>30.887377322616405</v>
      </c>
      <c r="L428" s="1">
        <f>'[2]Electricity and CHPs_IN'!H$26-L361</f>
        <v>0.28993794764982894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8.1621569824308722</v>
      </c>
      <c r="L429" s="1">
        <f>'[2]Electricity and CHPs_IN'!H$27-L362</f>
        <v>24.865769530713372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18.210373327461241</v>
      </c>
      <c r="G430" s="1">
        <f t="shared" ref="G430:K430" si="428">SUM(G431:G432)</f>
        <v>17.471864512619891</v>
      </c>
      <c r="H430" s="1">
        <f t="shared" si="428"/>
        <v>16.512439932749288</v>
      </c>
      <c r="I430" s="1">
        <f t="shared" si="428"/>
        <v>18.373832353446726</v>
      </c>
      <c r="J430" s="1">
        <f t="shared" si="428"/>
        <v>18.151050992348917</v>
      </c>
      <c r="K430" s="1">
        <f t="shared" si="428"/>
        <v>19.524767152523637</v>
      </c>
      <c r="L430" s="1">
        <f t="shared" ref="L430" si="429">SUM(L431:L432)</f>
        <v>12.577853739181604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18.210373327461241</v>
      </c>
      <c r="G431" s="1">
        <f t="shared" ref="G431:K431" si="430">IFERROR(G368/G361,0)*G428</f>
        <v>17.471864512619891</v>
      </c>
      <c r="H431" s="1">
        <f t="shared" si="430"/>
        <v>16.512439932749288</v>
      </c>
      <c r="I431" s="1">
        <f t="shared" si="430"/>
        <v>18.373832353446726</v>
      </c>
      <c r="J431" s="1">
        <f t="shared" si="430"/>
        <v>18.151050992348917</v>
      </c>
      <c r="K431" s="1">
        <f t="shared" si="430"/>
        <v>15.443688661308203</v>
      </c>
      <c r="L431" s="1">
        <f t="shared" ref="L431" si="431">IFERROR(L368/L361,0)*L428</f>
        <v>0.14496897382491447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4.0810784912154361</v>
      </c>
      <c r="L432" s="1">
        <f t="shared" ref="L432" si="433">IFERROR(L369/L362,0)*L429</f>
        <v>12.43288476535669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18.210373327461241</v>
      </c>
      <c r="G433" s="1">
        <f t="shared" ref="G433:K433" si="434">SUM(G434:G435)</f>
        <v>17.471864512619891</v>
      </c>
      <c r="H433" s="1">
        <f t="shared" si="434"/>
        <v>16.512439932749288</v>
      </c>
      <c r="I433" s="1">
        <f t="shared" si="434"/>
        <v>18.373832353446726</v>
      </c>
      <c r="J433" s="1">
        <f t="shared" si="434"/>
        <v>18.151050992348917</v>
      </c>
      <c r="K433" s="1">
        <f t="shared" si="434"/>
        <v>19.524767152523637</v>
      </c>
      <c r="L433" s="1">
        <f t="shared" ref="L433" si="435">SUM(L434:L435)</f>
        <v>12.577853739181597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18.210373327461241</v>
      </c>
      <c r="G434" s="1">
        <f t="shared" ref="G434:K434" si="436">G428-G431</f>
        <v>17.471864512619891</v>
      </c>
      <c r="H434" s="1">
        <f t="shared" si="436"/>
        <v>16.512439932749288</v>
      </c>
      <c r="I434" s="1">
        <f t="shared" si="436"/>
        <v>18.373832353446726</v>
      </c>
      <c r="J434" s="1">
        <f t="shared" si="436"/>
        <v>18.151050992348917</v>
      </c>
      <c r="K434" s="1">
        <f t="shared" si="436"/>
        <v>15.443688661308203</v>
      </c>
      <c r="L434" s="1">
        <f t="shared" ref="L434" si="437">L428-L431</f>
        <v>0.14496897382491447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4.0810784912154361</v>
      </c>
      <c r="L435" s="1">
        <f t="shared" ref="L435" si="439">L429-L432</f>
        <v>12.432884765356683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1.3744194959898846E-2</v>
      </c>
      <c r="G436" s="1">
        <f t="shared" ref="G436:L436" si="440">G437</f>
        <v>3.2613969026188648E-2</v>
      </c>
      <c r="H436" s="1">
        <f t="shared" si="440"/>
        <v>4.3405631076145153E-2</v>
      </c>
      <c r="I436" s="1">
        <f t="shared" si="440"/>
        <v>0.15563356326196504</v>
      </c>
      <c r="J436" s="1">
        <f t="shared" si="440"/>
        <v>1.8772502889207929</v>
      </c>
      <c r="K436" s="1">
        <f t="shared" si="440"/>
        <v>2.2603958069374861</v>
      </c>
      <c r="L436" s="1">
        <f t="shared" si="440"/>
        <v>2.6960462688954072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1.3744194959898846E-2</v>
      </c>
      <c r="G437" s="1">
        <f>'[1]Electricity and CHPs_IN'!C$25-G380</f>
        <v>3.2613969026188648E-2</v>
      </c>
      <c r="H437" s="1">
        <f>'[1]Electricity and CHPs_IN'!D$25-H380</f>
        <v>4.3405631076145153E-2</v>
      </c>
      <c r="I437" s="1">
        <f>'[1]Electricity and CHPs_IN'!E$25-I380</f>
        <v>0.15563356326196504</v>
      </c>
      <c r="J437" s="1">
        <f>'[2]Electricity and CHPs_IN'!F$25-J380</f>
        <v>1.8772502889207929</v>
      </c>
      <c r="K437" s="1">
        <f>'[2]Electricity and CHPs_IN'!G$25-K380</f>
        <v>2.2603958069374861</v>
      </c>
      <c r="L437" s="1">
        <f>'[2]Electricity and CHPs_IN'!H$25-L380</f>
        <v>2.6960462688954072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9.1022485945339588E-3</v>
      </c>
      <c r="L438" s="1">
        <f t="shared" si="441"/>
        <v>0.46874817097459015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9.1022485945339588E-3</v>
      </c>
      <c r="L439" s="1">
        <f>'[2]Electricity and CHPs_IN'!H$30-L398</f>
        <v>0.46874817097459015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9.565099579997927</v>
      </c>
      <c r="G440" s="1">
        <f t="shared" ref="G440:K440" si="442">SUM(G441,G447,G449,G455,G457,G459,G461)</f>
        <v>11.744541238703835</v>
      </c>
      <c r="H440" s="1">
        <f t="shared" si="442"/>
        <v>10.35418374028529</v>
      </c>
      <c r="I440" s="1">
        <f t="shared" si="442"/>
        <v>9.7342329323301975</v>
      </c>
      <c r="J440" s="1">
        <f t="shared" si="442"/>
        <v>9.779420708402089</v>
      </c>
      <c r="K440" s="1">
        <f t="shared" si="442"/>
        <v>8.8395134308157317</v>
      </c>
      <c r="L440" s="1">
        <f t="shared" ref="L440" si="443">SUM(L441,L447,L449,L455,L457,L459,L461)</f>
        <v>9.8594308638804407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4.3964999953793491</v>
      </c>
      <c r="G441" s="1">
        <f t="shared" ref="G441:L441" si="444">+G442</f>
        <v>3.187974609756941</v>
      </c>
      <c r="H441" s="1">
        <f t="shared" si="444"/>
        <v>2.4528292887289025</v>
      </c>
      <c r="I441" s="1">
        <f t="shared" si="444"/>
        <v>2.3680399903741396</v>
      </c>
      <c r="J441" s="1">
        <f t="shared" si="444"/>
        <v>2.3680008387427343</v>
      </c>
      <c r="K441" s="1">
        <f t="shared" si="444"/>
        <v>2.3679938714897548</v>
      </c>
      <c r="L441" s="1">
        <f t="shared" si="444"/>
        <v>2.3680138851597179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4.3964999953793491</v>
      </c>
      <c r="G442" s="1">
        <f t="shared" ref="G442:K442" si="445">SUM(G444:G446)</f>
        <v>3.187974609756941</v>
      </c>
      <c r="H442" s="1">
        <f t="shared" si="445"/>
        <v>2.4528292887289025</v>
      </c>
      <c r="I442" s="1">
        <f t="shared" si="445"/>
        <v>2.3680399903741396</v>
      </c>
      <c r="J442" s="1">
        <f t="shared" si="445"/>
        <v>2.3680008387427343</v>
      </c>
      <c r="K442" s="1">
        <f t="shared" si="445"/>
        <v>2.3679938714897548</v>
      </c>
      <c r="L442" s="1">
        <f t="shared" ref="L442" si="446">SUM(L444:L446)</f>
        <v>2.3680138851597179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2.0283279054032661</v>
      </c>
      <c r="G443" s="1">
        <f t="shared" ref="G443:L443" si="447">G444</f>
        <v>0.81993622386271225</v>
      </c>
      <c r="H443" s="1">
        <f t="shared" si="447"/>
        <v>8.4770923279525318E-2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2.0283279054032661</v>
      </c>
      <c r="G444" s="1">
        <f>'[1]Electricity and CHPs_IN'!C$90</f>
        <v>0.81993622386271225</v>
      </c>
      <c r="H444" s="1">
        <f>'[1]Electricity and CHPs_IN'!D$90</f>
        <v>8.4770923279525318E-2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1.1840860449880417</v>
      </c>
      <c r="G445" s="1">
        <f t="shared" ref="G445:L445" si="448">G446</f>
        <v>1.1840191929471144</v>
      </c>
      <c r="H445" s="1">
        <f t="shared" si="448"/>
        <v>1.1840291827246885</v>
      </c>
      <c r="I445" s="1">
        <f t="shared" si="448"/>
        <v>1.1840199951870698</v>
      </c>
      <c r="J445" s="1">
        <f t="shared" si="448"/>
        <v>1.1840004193713671</v>
      </c>
      <c r="K445" s="1">
        <f t="shared" si="448"/>
        <v>1.1839969357448774</v>
      </c>
      <c r="L445" s="1">
        <f t="shared" si="448"/>
        <v>1.1840069425798589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1.1840860449880417</v>
      </c>
      <c r="G446" s="1">
        <f>'[1]Electricity and CHPs_IN'!C$91</f>
        <v>1.1840191929471144</v>
      </c>
      <c r="H446" s="1">
        <f>'[1]Electricity and CHPs_IN'!D$91</f>
        <v>1.1840291827246885</v>
      </c>
      <c r="I446" s="1">
        <f>'[1]Electricity and CHPs_IN'!E$91</f>
        <v>1.1840199951870698</v>
      </c>
      <c r="J446" s="1">
        <f>'[2]Electricity and CHPs_IN'!F$91</f>
        <v>1.1840004193713671</v>
      </c>
      <c r="K446" s="1">
        <f>'[2]Electricity and CHPs_IN'!G$91</f>
        <v>1.1839969357448774</v>
      </c>
      <c r="L446" s="1">
        <f>'[2]Electricity and CHPs_IN'!H$91</f>
        <v>1.1840069425798589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1.4503484521851611</v>
      </c>
      <c r="G447" s="1">
        <f t="shared" ref="G447:L447" si="449">G448</f>
        <v>3.8005723339729314</v>
      </c>
      <c r="H447" s="1">
        <f t="shared" si="449"/>
        <v>3.7610156438209685</v>
      </c>
      <c r="I447" s="1">
        <f t="shared" si="449"/>
        <v>1.0653320352998967</v>
      </c>
      <c r="J447" s="1">
        <f t="shared" si="449"/>
        <v>0.64947473103258246</v>
      </c>
      <c r="K447" s="1">
        <f t="shared" si="449"/>
        <v>0</v>
      </c>
      <c r="L447" s="1">
        <f t="shared" si="449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1.4503484521851611</v>
      </c>
      <c r="G448" s="1">
        <f>'[1]Electricity and CHPs_IN'!C$92</f>
        <v>3.8005723339729314</v>
      </c>
      <c r="H448" s="1">
        <f>'[1]Electricity and CHPs_IN'!D$92</f>
        <v>3.7610156438209685</v>
      </c>
      <c r="I448" s="1">
        <f>'[1]Electricity and CHPs_IN'!E$92</f>
        <v>1.0653320352998967</v>
      </c>
      <c r="J448" s="1">
        <f>'[2]Electricity and CHPs_IN'!F$92</f>
        <v>0.64947473103258246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0.21574287415336313</v>
      </c>
      <c r="G449" s="1">
        <f t="shared" ref="G449:L449" si="450">G450</f>
        <v>0.2150865055357141</v>
      </c>
      <c r="H449" s="1">
        <f t="shared" si="450"/>
        <v>8.4084578973484207E-3</v>
      </c>
      <c r="I449" s="1">
        <f t="shared" si="450"/>
        <v>1.0449339496490144E-2</v>
      </c>
      <c r="J449" s="1">
        <f t="shared" si="450"/>
        <v>1.6875768895671368E-4</v>
      </c>
      <c r="K449" s="1">
        <f t="shared" si="450"/>
        <v>3.8149135556818972E-4</v>
      </c>
      <c r="L449" s="1">
        <f t="shared" si="450"/>
        <v>8.4477883813211847E-6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0.21574287415336313</v>
      </c>
      <c r="G450" s="1">
        <f>'[1]Electricity and CHPs_IN'!C$93</f>
        <v>0.2150865055357141</v>
      </c>
      <c r="H450" s="1">
        <f>'[1]Electricity and CHPs_IN'!D$93</f>
        <v>8.4084578973484207E-3</v>
      </c>
      <c r="I450" s="1">
        <f>'[1]Electricity and CHPs_IN'!E$93</f>
        <v>1.0449339496490144E-2</v>
      </c>
      <c r="J450" s="1">
        <f>'[2]Electricity and CHPs_IN'!F$93</f>
        <v>1.6875768895671368E-4</v>
      </c>
      <c r="K450" s="1">
        <f>'[2]Electricity and CHPs_IN'!G$93</f>
        <v>3.8149135556818972E-4</v>
      </c>
      <c r="L450" s="1">
        <f>'[2]Electricity and CHPs_IN'!H$93</f>
        <v>8.4477883813211847E-6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0.21574287415336313</v>
      </c>
      <c r="G451" s="1">
        <f t="shared" ref="G451:L451" si="451">G452</f>
        <v>0.2150865055357141</v>
      </c>
      <c r="H451" s="1">
        <f t="shared" si="451"/>
        <v>8.4084578973484207E-3</v>
      </c>
      <c r="I451" s="1">
        <f t="shared" si="451"/>
        <v>1.0449339496490144E-2</v>
      </c>
      <c r="J451" s="1">
        <f t="shared" si="451"/>
        <v>1.6875768895671368E-4</v>
      </c>
      <c r="K451" s="1">
        <f t="shared" si="451"/>
        <v>3.8149135556818972E-4</v>
      </c>
      <c r="L451" s="1">
        <f t="shared" si="451"/>
        <v>8.4477883813211847E-6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0.21574287415336313</v>
      </c>
      <c r="G452" s="1">
        <f t="shared" ref="G452:K452" si="452">G450</f>
        <v>0.2150865055357141</v>
      </c>
      <c r="H452" s="1">
        <f t="shared" si="452"/>
        <v>8.4084578973484207E-3</v>
      </c>
      <c r="I452" s="1">
        <f t="shared" si="452"/>
        <v>1.0449339496490144E-2</v>
      </c>
      <c r="J452" s="1">
        <f t="shared" si="452"/>
        <v>1.6875768895671368E-4</v>
      </c>
      <c r="K452" s="1">
        <f t="shared" si="452"/>
        <v>3.8149135556818972E-4</v>
      </c>
      <c r="L452" s="1">
        <f t="shared" ref="L452" si="453">L450</f>
        <v>8.4477883813211847E-6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3.5025082582800544</v>
      </c>
      <c r="G455" s="1">
        <f t="shared" ref="G455:L455" si="455">G456</f>
        <v>3.1609569733618343</v>
      </c>
      <c r="H455" s="1">
        <f t="shared" si="455"/>
        <v>2.7101551627400027</v>
      </c>
      <c r="I455" s="1">
        <f t="shared" si="455"/>
        <v>2.4480408027098997</v>
      </c>
      <c r="J455" s="1">
        <f t="shared" si="455"/>
        <v>2.9796381792141382</v>
      </c>
      <c r="K455" s="1">
        <f t="shared" si="455"/>
        <v>2.4955237138946149</v>
      </c>
      <c r="L455" s="1">
        <f t="shared" si="455"/>
        <v>3.0999253434830516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3.5025082582800544</v>
      </c>
      <c r="G456" s="1">
        <f>'[1]Electricity and CHPs_IN'!C$94</f>
        <v>3.1609569733618343</v>
      </c>
      <c r="H456" s="1">
        <f>'[1]Electricity and CHPs_IN'!D$94</f>
        <v>2.7101551627400027</v>
      </c>
      <c r="I456" s="1">
        <f>'[1]Electricity and CHPs_IN'!E$94</f>
        <v>2.4480408027098997</v>
      </c>
      <c r="J456" s="1">
        <f>'[2]Electricity and CHPs_IN'!F$94</f>
        <v>2.9796381792141382</v>
      </c>
      <c r="K456" s="1">
        <f>'[2]Electricity and CHPs_IN'!G$94</f>
        <v>2.4955237138946149</v>
      </c>
      <c r="L456" s="1">
        <f>'[2]Electricity and CHPs_IN'!H$94</f>
        <v>3.0999253434830516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2.5596435667802012E-3</v>
      </c>
      <c r="J457" s="1">
        <f t="shared" si="456"/>
        <v>2.6207976457033849E-4</v>
      </c>
      <c r="K457" s="1">
        <f t="shared" si="456"/>
        <v>2.624131958825461E-4</v>
      </c>
      <c r="L457" s="1">
        <f t="shared" si="456"/>
        <v>2.6565441707310163E-4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2.5596435667802012E-3</v>
      </c>
      <c r="J458" s="1">
        <f>'[2]Electricity and CHPs_IN'!F$95</f>
        <v>2.6207976457033849E-4</v>
      </c>
      <c r="K458" s="1">
        <f>'[2]Electricity and CHPs_IN'!G$95</f>
        <v>2.624131958825461E-4</v>
      </c>
      <c r="L458" s="1">
        <f>'[2]Electricity and CHPs_IN'!H$95</f>
        <v>2.6565441707310163E-4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4.5492775932059034E-4</v>
      </c>
      <c r="L459" s="1">
        <f t="shared" si="457"/>
        <v>4.5833842324175022E-4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4.5492775932059034E-4</v>
      </c>
      <c r="L460" s="1">
        <f>'[2]Electricity and CHPs_IN'!H$96</f>
        <v>4.5833842324175022E-4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1.3799508160764142</v>
      </c>
      <c r="H461" s="1">
        <f>H462</f>
        <v>1.4217751870980675</v>
      </c>
      <c r="I461" s="1">
        <f t="shared" ref="I461" si="459">I462</f>
        <v>3.8398111208829926</v>
      </c>
      <c r="J461" s="1">
        <f t="shared" ref="J461" si="460">J462</f>
        <v>3.7818761219591068</v>
      </c>
      <c r="K461" s="1">
        <f t="shared" ref="K461:L461" si="461">K462</f>
        <v>3.9748970131205903</v>
      </c>
      <c r="L461" s="1">
        <f t="shared" si="461"/>
        <v>4.3907591946089761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1.3799508160764142</v>
      </c>
      <c r="H462" s="1">
        <f>'[1]Electricity and CHPs_IN'!D$97</f>
        <v>1.4217751870980675</v>
      </c>
      <c r="I462" s="1">
        <f>'[1]Electricity and CHPs_IN'!E$97</f>
        <v>3.8398111208829926</v>
      </c>
      <c r="J462" s="1">
        <f>'[2]Electricity and CHPs_IN'!F$97</f>
        <v>3.7818761219591068</v>
      </c>
      <c r="K462" s="1">
        <f>'[2]Electricity and CHPs_IN'!G$97</f>
        <v>3.9748970131205903</v>
      </c>
      <c r="L462" s="1">
        <f>'[2]Electricity and CHPs_IN'!H$97</f>
        <v>4.3907591946089761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8.7501038314452355</v>
      </c>
      <c r="G463" s="1">
        <f t="shared" ref="G463:K463" si="462">SUM(G464,G470,G503,G512,G518)</f>
        <v>8.6583016900134453</v>
      </c>
      <c r="H463" s="1">
        <f t="shared" si="462"/>
        <v>7.7506563100429826</v>
      </c>
      <c r="I463" s="1">
        <f>IFERROR(SUM(I464,I470,I503,I512,I518),0)</f>
        <v>7.6281170930528219</v>
      </c>
      <c r="J463" s="1">
        <f t="shared" si="462"/>
        <v>10.481087543401964</v>
      </c>
      <c r="K463" s="1">
        <f t="shared" si="462"/>
        <v>12.765501785271052</v>
      </c>
      <c r="L463" s="1">
        <f>IFERROR(SUM(L464,L470,L503,L512,L518),0)</f>
        <v>16.567067237273331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0.37102107788033173</v>
      </c>
      <c r="G464" s="1">
        <f t="shared" ref="G464:L464" si="463">+G465</f>
        <v>0.62686581817800535</v>
      </c>
      <c r="H464" s="1">
        <f t="shared" si="463"/>
        <v>0.46937527626262127</v>
      </c>
      <c r="I464" s="1">
        <f t="shared" si="463"/>
        <v>0.54443169034770333</v>
      </c>
      <c r="J464" s="1">
        <f t="shared" si="463"/>
        <v>0.5188209504293072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0.37102107788033173</v>
      </c>
      <c r="G465" s="1">
        <f>'[1]Electricity and CHPs_IN'!C$41-G301</f>
        <v>0.62686581817800535</v>
      </c>
      <c r="H465" s="1">
        <f>'[1]Electricity and CHPs_IN'!D$41-H301</f>
        <v>0.46937527626262127</v>
      </c>
      <c r="I465" s="1">
        <f>'[1]Electricity and CHPs_IN'!E$41-I301</f>
        <v>0.54443169034770333</v>
      </c>
      <c r="J465" s="1">
        <f>'[2]Electricity and CHPs_IN'!F$41-J301</f>
        <v>0.5188209504293072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0.37102107788033173</v>
      </c>
      <c r="G466" s="1">
        <f t="shared" ref="G466:L466" si="464">G467</f>
        <v>0.62686581817800535</v>
      </c>
      <c r="H466" s="1">
        <f t="shared" si="464"/>
        <v>0.46937527626262127</v>
      </c>
      <c r="I466" s="1">
        <f t="shared" si="464"/>
        <v>0.54443169034770333</v>
      </c>
      <c r="J466" s="1">
        <f t="shared" si="464"/>
        <v>0.5188209504293072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0.37102107788033173</v>
      </c>
      <c r="G467" s="1">
        <f t="shared" ref="G467:K467" si="465">G465-G469</f>
        <v>0.62686581817800535</v>
      </c>
      <c r="H467" s="1">
        <f t="shared" si="465"/>
        <v>0.46937527626262127</v>
      </c>
      <c r="I467" s="1">
        <f t="shared" si="465"/>
        <v>0.54443169034770333</v>
      </c>
      <c r="J467" s="1">
        <f t="shared" si="465"/>
        <v>0.5188209504293072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4.3696513942219726</v>
      </c>
      <c r="G470" s="1">
        <f t="shared" ref="G470:K470" si="470">SUM(G471:G480)</f>
        <v>3.147159386518898</v>
      </c>
      <c r="H470" s="1">
        <f t="shared" si="470"/>
        <v>3.597387055767558</v>
      </c>
      <c r="I470" s="1">
        <f>IFERROR(SUM(I471:I480),0)</f>
        <v>1.7356014705980407</v>
      </c>
      <c r="J470" s="1">
        <f t="shared" si="470"/>
        <v>3.5099379293928248</v>
      </c>
      <c r="K470" s="1">
        <f t="shared" si="470"/>
        <v>1.9051688853566593</v>
      </c>
      <c r="L470" s="1">
        <f>IFERROR(SUM(L471:L480),0)</f>
        <v>3.4178381701626694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1.2075054931053009</v>
      </c>
      <c r="G471" s="1">
        <f>'[1]Electricity and CHPs_IN'!C$39-G316</f>
        <v>0.32851490139051048</v>
      </c>
      <c r="H471" s="1">
        <f>'[1]Electricity and CHPs_IN'!D$39-H316</f>
        <v>0.71858079347318404</v>
      </c>
      <c r="I471" s="1">
        <f>'[1]Electricity and CHPs_IN'!E$39-I316</f>
        <v>7.8932966029672105E-2</v>
      </c>
      <c r="J471" s="1">
        <f>'[2]Electricity and CHPs_IN'!F$39-J316</f>
        <v>1.1455394868637367</v>
      </c>
      <c r="K471" s="1">
        <f>'[2]Electricity and CHPs_IN'!G$39-K316</f>
        <v>0.34311275851135076</v>
      </c>
      <c r="L471" s="1">
        <f>'[2]Electricity and CHPs_IN'!H$39-L316</f>
        <v>1.4427660074305644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0.13460373247100843</v>
      </c>
      <c r="L472" s="6">
        <f>'[2]Electricity and CHPs_IN'!H$40-L317</f>
        <v>0.60705186984615866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0.26116125676959223</v>
      </c>
      <c r="G474" s="1">
        <f>'[1]Electricity and CHPs_IN'!C$48-G319</f>
        <v>3.3811016888200179E-2</v>
      </c>
      <c r="H474" s="1">
        <f>'[1]Electricity and CHPs_IN'!D$48-H319</f>
        <v>0.11254284026817446</v>
      </c>
      <c r="I474" s="1">
        <f>IFERROR('[1]Electricity and CHPs_IN'!E$48-I319,0)</f>
        <v>0</v>
      </c>
      <c r="J474" s="1">
        <f>'[2]Electricity and CHPs_IN'!F$48-J319</f>
        <v>2.2970123312517379E-2</v>
      </c>
      <c r="K474" s="1">
        <f>'[2]Electricity and CHPs_IN'!G$48-K319</f>
        <v>6.8539916567797489E-3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0.28022914029434492</v>
      </c>
      <c r="G476" s="1">
        <f>'[1]Electricity and CHPs_IN'!C$51-G321</f>
        <v>4.1566082323902472E-2</v>
      </c>
      <c r="H476" s="1">
        <f>'[1]Electricity and CHPs_IN'!D$51-H321</f>
        <v>0.15549962894720526</v>
      </c>
      <c r="I476" s="1">
        <f>'[1]Electricity and CHPs_IN'!E$51-I321</f>
        <v>0</v>
      </c>
      <c r="J476" s="1">
        <f>'[2]Electricity and CHPs_IN'!F$51-J321</f>
        <v>6.2817281156556756E-2</v>
      </c>
      <c r="K476" s="1">
        <f>'[2]Electricity and CHPs_IN'!G$51-K321</f>
        <v>1.2565901420125095E-2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1.5807723999109324</v>
      </c>
      <c r="G478" s="1">
        <f>'[1]Electricity and CHPs_IN'!C$54-G323</f>
        <v>1.7934591024770443</v>
      </c>
      <c r="H478" s="1">
        <f>'[1]Electricity and CHPs_IN'!D$54-H323</f>
        <v>1.7535855378340783</v>
      </c>
      <c r="I478" s="1">
        <f>'[1]Electricity and CHPs_IN'!E$54-I323</f>
        <v>1.6566685045683687</v>
      </c>
      <c r="J478" s="1">
        <f>'[2]Electricity and CHPs_IN'!F$54-J323</f>
        <v>2.2618509827444599</v>
      </c>
      <c r="K478" s="1">
        <f>'[2]Electricity and CHPs_IN'!G$54-K323</f>
        <v>1.405092102956478</v>
      </c>
      <c r="L478" s="1">
        <f>'[2]Electricity and CHPs_IN'!H$54-L323</f>
        <v>1.368020292885946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1.0399831041418022</v>
      </c>
      <c r="G479" s="1">
        <f>'[1]Electricity and CHPs_IN'!C$55-G324</f>
        <v>0.94980828343924062</v>
      </c>
      <c r="H479" s="1">
        <f>'[1]Electricity and CHPs_IN'!D$55-H324</f>
        <v>0.85717825524491587</v>
      </c>
      <c r="I479" s="1">
        <f>'[1]Electricity and CHPs_IN'!E$55-I324</f>
        <v>0</v>
      </c>
      <c r="J479" s="1">
        <f>'[2]Electricity and CHPs_IN'!F$55-J324</f>
        <v>1.6760055315553697E-2</v>
      </c>
      <c r="K479" s="1">
        <f>'[2]Electricity and CHPs_IN'!G$55-K324</f>
        <v>2.940398340917371E-3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2.7184980960732079</v>
      </c>
      <c r="G481" s="1">
        <f t="shared" ref="G481:K481" si="471">SUM(G482:G491)</f>
        <v>1.3069296641384258</v>
      </c>
      <c r="H481" s="1">
        <f t="shared" si="471"/>
        <v>1.7442032605953506</v>
      </c>
      <c r="I481" s="1">
        <f>IFERROR(SUM(I482:I491),0)</f>
        <v>7.0838228898717007E-2</v>
      </c>
      <c r="J481" s="1">
        <f t="shared" si="471"/>
        <v>1.0245604159991477</v>
      </c>
      <c r="K481" s="1">
        <f t="shared" si="471"/>
        <v>0.29809037626229895</v>
      </c>
      <c r="L481" s="1">
        <f>IFERROR(SUM(L482:L491),0)</f>
        <v>0.75466498304026897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1.1770325606456185</v>
      </c>
      <c r="G482" s="1">
        <f t="shared" ref="G482:K482" si="473">G471-G493</f>
        <v>0.31716464478890022</v>
      </c>
      <c r="H482" s="1">
        <f t="shared" si="473"/>
        <v>0.67976457920582967</v>
      </c>
      <c r="I482" s="1">
        <f t="shared" si="473"/>
        <v>7.0838228898717007E-2</v>
      </c>
      <c r="J482" s="1">
        <f t="shared" si="473"/>
        <v>0.94037872630297681</v>
      </c>
      <c r="K482" s="1">
        <f t="shared" si="473"/>
        <v>0.204525814604199</v>
      </c>
      <c r="L482" s="1">
        <f t="shared" ref="L482" si="474">L471-L493</f>
        <v>0.53117157216678723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8.0235833117490829E-2</v>
      </c>
      <c r="L483" s="1">
        <f t="shared" ref="L483" si="476">L472-L494</f>
        <v>0.22349341087348179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0.25457052125404661</v>
      </c>
      <c r="G485" s="1">
        <f t="shared" ref="G485:K485" si="479">G474-G496</f>
        <v>3.2642839383867542E-2</v>
      </c>
      <c r="H485" s="1">
        <f t="shared" si="479"/>
        <v>0.10646351412728017</v>
      </c>
      <c r="I485" s="1">
        <f>IFERROR(I474-I496,0)</f>
        <v>0</v>
      </c>
      <c r="J485" s="1">
        <f t="shared" si="479"/>
        <v>1.885628173567868E-2</v>
      </c>
      <c r="K485" s="1">
        <f t="shared" si="479"/>
        <v>4.0855905008466403E-3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0.27315720255643533</v>
      </c>
      <c r="G487" s="1">
        <f t="shared" ref="G487:K487" si="482">G476-G498</f>
        <v>4.012996573283456E-2</v>
      </c>
      <c r="H487" s="1">
        <f t="shared" si="482"/>
        <v>0.14709986795925165</v>
      </c>
      <c r="I487" s="1">
        <f t="shared" si="482"/>
        <v>0</v>
      </c>
      <c r="J487" s="1">
        <f t="shared" si="482"/>
        <v>5.1567000108871427E-2</v>
      </c>
      <c r="K487" s="1">
        <f t="shared" si="482"/>
        <v>7.4903983032800128E-3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1.0137378116171076</v>
      </c>
      <c r="G490" s="1">
        <f t="shared" ref="G490:K490" si="486">G479-G501</f>
        <v>0.91699221423282351</v>
      </c>
      <c r="H490" s="1">
        <f t="shared" si="486"/>
        <v>0.81087529930298907</v>
      </c>
      <c r="I490" s="1">
        <f t="shared" si="486"/>
        <v>0</v>
      </c>
      <c r="J490" s="1">
        <f t="shared" si="486"/>
        <v>1.3758407851620909E-2</v>
      </c>
      <c r="K490" s="1">
        <f t="shared" si="486"/>
        <v>1.7527397364824769E-3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1.6511532981487647</v>
      </c>
      <c r="G492" s="1">
        <f t="shared" ref="G492:K492" si="490">SUM(G493:G502)</f>
        <v>1.8402297223804722</v>
      </c>
      <c r="H492" s="1">
        <f t="shared" si="490"/>
        <v>1.8531837951722074</v>
      </c>
      <c r="I492" s="1">
        <f>IFERROR(SUM(I493:I502),0)</f>
        <v>1.6647632416993237</v>
      </c>
      <c r="J492" s="1">
        <f t="shared" si="490"/>
        <v>2.4853775133936771</v>
      </c>
      <c r="K492" s="1">
        <f t="shared" si="490"/>
        <v>1.6070785090943605</v>
      </c>
      <c r="L492" s="1">
        <f>IFERROR(SUM(L493:L502),0)</f>
        <v>2.6631731871223998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3.0472932459682387E-2</v>
      </c>
      <c r="G493" s="1">
        <f t="shared" ref="G493:K493" si="492">IFERROR(G348/G316,0)*G471</f>
        <v>1.1350256601610242E-2</v>
      </c>
      <c r="H493" s="1">
        <f t="shared" si="492"/>
        <v>3.8816214267354328E-2</v>
      </c>
      <c r="I493" s="1">
        <f t="shared" si="492"/>
        <v>8.0947371309550934E-3</v>
      </c>
      <c r="J493" s="1">
        <f t="shared" si="492"/>
        <v>0.20516076056075996</v>
      </c>
      <c r="K493" s="1">
        <f t="shared" si="492"/>
        <v>0.13858694390715176</v>
      </c>
      <c r="L493" s="1">
        <f t="shared" ref="L493" si="493">IFERROR(L348/L316,0)*L471</f>
        <v>0.91159443526377715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5.4367899353517594E-2</v>
      </c>
      <c r="L494" s="1">
        <f t="shared" ref="L494" si="495">IFERROR(L349/L317,0)*L472</f>
        <v>0.38355845897267687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6.590735515545643E-3</v>
      </c>
      <c r="G496" s="1">
        <f t="shared" ref="G496:K496" si="498">IFERROR(G351/G319,0)*G474</f>
        <v>1.1681775043326397E-3</v>
      </c>
      <c r="H496" s="1">
        <f t="shared" si="498"/>
        <v>6.079326140894287E-3</v>
      </c>
      <c r="I496" s="1">
        <f>IFERROR(IFERROR(I351/I319,0)*I474,0)</f>
        <v>0</v>
      </c>
      <c r="J496" s="1">
        <f t="shared" si="498"/>
        <v>4.1138415768386984E-3</v>
      </c>
      <c r="K496" s="1">
        <f t="shared" si="498"/>
        <v>2.7684011559331091E-3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7.0719377379095845E-3</v>
      </c>
      <c r="G498" s="1">
        <f t="shared" ref="G498:K498" si="501">IFERROR(G353/G321,0)*G476</f>
        <v>1.4361165910679091E-3</v>
      </c>
      <c r="H498" s="1">
        <f t="shared" si="501"/>
        <v>8.3997609879536261E-3</v>
      </c>
      <c r="I498" s="1">
        <f t="shared" si="501"/>
        <v>0</v>
      </c>
      <c r="J498" s="1">
        <f t="shared" si="501"/>
        <v>1.1250281047685325E-2</v>
      </c>
      <c r="K498" s="1">
        <f t="shared" si="501"/>
        <v>5.0755031168450825E-3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1.5807723999109324</v>
      </c>
      <c r="G500" s="1">
        <f t="shared" ref="G500:K500" si="505">G478</f>
        <v>1.7934591024770443</v>
      </c>
      <c r="H500" s="1">
        <f t="shared" si="505"/>
        <v>1.7535855378340783</v>
      </c>
      <c r="I500" s="1">
        <f t="shared" si="505"/>
        <v>1.6566685045683687</v>
      </c>
      <c r="J500" s="1">
        <f t="shared" si="505"/>
        <v>2.2618509827444599</v>
      </c>
      <c r="K500" s="1">
        <f t="shared" si="505"/>
        <v>1.405092102956478</v>
      </c>
      <c r="L500" s="1">
        <f t="shared" ref="L500" si="506">L478</f>
        <v>1.368020292885946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2.6245292524694538E-2</v>
      </c>
      <c r="G501" s="1">
        <f t="shared" ref="G501:K501" si="507">IFERROR(G356/G324,0)*G479</f>
        <v>3.2816069206417137E-2</v>
      </c>
      <c r="H501" s="1">
        <f t="shared" si="507"/>
        <v>4.6302955941926849E-2</v>
      </c>
      <c r="I501" s="1">
        <f t="shared" si="507"/>
        <v>0</v>
      </c>
      <c r="J501" s="1">
        <f t="shared" si="507"/>
        <v>3.0016474639327881E-3</v>
      </c>
      <c r="K501" s="1">
        <f t="shared" si="507"/>
        <v>1.1876586044348941E-3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3.3176092199257718</v>
      </c>
      <c r="G503" s="1">
        <f t="shared" ref="G503:K503" si="511">SUM(G504:G505)</f>
        <v>3.497006891596504</v>
      </c>
      <c r="H503" s="1">
        <f t="shared" si="511"/>
        <v>0.18138551098709124</v>
      </c>
      <c r="I503" s="1">
        <f t="shared" si="511"/>
        <v>0.20329734549495068</v>
      </c>
      <c r="J503" s="1">
        <f t="shared" si="511"/>
        <v>3.7398103795007687E-2</v>
      </c>
      <c r="K503" s="1">
        <f t="shared" si="511"/>
        <v>3.2426440141820159</v>
      </c>
      <c r="L503" s="1">
        <f t="shared" ref="L503" si="512">SUM(L504:L505)</f>
        <v>5.7620742816654973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3.3176092199257718</v>
      </c>
      <c r="G504" s="6">
        <f>'[1]Electricity and CHPs_IN'!C$44-G363</f>
        <v>3.497006891596504</v>
      </c>
      <c r="H504" s="6">
        <f>'[1]Electricity and CHPs_IN'!D$44-H363</f>
        <v>0.18138551098709124</v>
      </c>
      <c r="I504" s="6">
        <f>'[1]Electricity and CHPs_IN'!E$44-I363</f>
        <v>0.20329734549495068</v>
      </c>
      <c r="J504" s="6">
        <f>'[2]Electricity and CHPs_IN'!F$44-J363</f>
        <v>3.7398103795007687E-2</v>
      </c>
      <c r="K504" s="6">
        <f>'[2]Electricity and CHPs_IN'!G$44-K363</f>
        <v>1.8952442125864031E-2</v>
      </c>
      <c r="L504" s="6">
        <f>'[2]Electricity and CHPs_IN'!H$44-L363</f>
        <v>3.4073993398877431E-3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3.2236915720561519</v>
      </c>
      <c r="L505" s="1">
        <f>'[2]Electricity and CHPs_IN'!H$45</f>
        <v>5.7586668823256097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3.3176092199257718</v>
      </c>
      <c r="G509" s="1">
        <f t="shared" ref="G509:K509" si="515">SUM(G510:G511)</f>
        <v>3.497006891596504</v>
      </c>
      <c r="H509" s="1">
        <f t="shared" si="515"/>
        <v>0.18138551098709124</v>
      </c>
      <c r="I509" s="1">
        <f t="shared" si="515"/>
        <v>0.20329734549495068</v>
      </c>
      <c r="J509" s="1">
        <f t="shared" si="515"/>
        <v>3.7398103795007687E-2</v>
      </c>
      <c r="K509" s="1">
        <f t="shared" si="515"/>
        <v>3.2426440141820159</v>
      </c>
      <c r="L509" s="1">
        <f t="shared" ref="L509" si="516">SUM(L510:L511)</f>
        <v>5.7620742816654973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3.3176092199257718</v>
      </c>
      <c r="G510" s="1">
        <f t="shared" ref="G510:K510" si="517">G504</f>
        <v>3.497006891596504</v>
      </c>
      <c r="H510" s="1">
        <f t="shared" si="517"/>
        <v>0.18138551098709124</v>
      </c>
      <c r="I510" s="1">
        <f t="shared" si="517"/>
        <v>0.20329734549495068</v>
      </c>
      <c r="J510" s="1">
        <f t="shared" si="517"/>
        <v>3.7398103795007687E-2</v>
      </c>
      <c r="K510" s="1">
        <f t="shared" si="517"/>
        <v>1.8952442125864031E-2</v>
      </c>
      <c r="L510" s="1">
        <f t="shared" ref="L510" si="518">L504</f>
        <v>3.4073993398877431E-3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3.2236915720561519</v>
      </c>
      <c r="L511" s="1">
        <f t="shared" ref="L511" si="520">L505</f>
        <v>5.7586668823256097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0.6918221394171602</v>
      </c>
      <c r="G512" s="1">
        <f t="shared" ref="G512:K512" si="521">SUM(G513:G517)</f>
        <v>1.3872695937200379</v>
      </c>
      <c r="H512" s="1">
        <f t="shared" si="521"/>
        <v>3.5025084670257121</v>
      </c>
      <c r="I512" s="1">
        <f t="shared" si="521"/>
        <v>5.1072401310706548</v>
      </c>
      <c r="J512" s="1">
        <f t="shared" si="521"/>
        <v>6.3981125538839674</v>
      </c>
      <c r="K512" s="1">
        <f t="shared" si="521"/>
        <v>7.5053114734485593</v>
      </c>
      <c r="L512" s="1">
        <f t="shared" ref="L512" si="522">SUM(L513:L517)</f>
        <v>7.2604286276408727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0.6918221394171602</v>
      </c>
      <c r="G513" s="6">
        <f>'[1]Electricity and CHPs_IN'!C$42-G382</f>
        <v>1.3872695937200379</v>
      </c>
      <c r="H513" s="6">
        <f>'[1]Electricity and CHPs_IN'!D$42-H382</f>
        <v>3.5025084670257121</v>
      </c>
      <c r="I513" s="6">
        <f>'[1]Electricity and CHPs_IN'!E$42-I382</f>
        <v>5.1072401310706548</v>
      </c>
      <c r="J513" s="6">
        <f>'[2]Electricity and CHPs_IN'!F$42-J382</f>
        <v>5.408976171843622</v>
      </c>
      <c r="K513" s="6">
        <f>'[2]Electricity and CHPs_IN'!G$42-K382</f>
        <v>4.9065611753392187</v>
      </c>
      <c r="L513" s="6">
        <f>'[2]Electricity and CHPs_IN'!H$42-L382</f>
        <v>4.210669326881483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0.57440712251577963</v>
      </c>
      <c r="L514" s="1">
        <f>'[2]Electricity and CHPs_IN'!H$43-L383</f>
        <v>2.2840330280286305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2.3077821899309015E-2</v>
      </c>
      <c r="K515" s="1">
        <f>'[2]Electricity and CHPs_IN'!G$50-K384</f>
        <v>2.2018038839527236E-2</v>
      </c>
      <c r="L515" s="1">
        <f>'[2]Electricity and CHPs_IN'!H$50-L384</f>
        <v>8.4638434082846756E-3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0.95767470583630065</v>
      </c>
      <c r="K516" s="1">
        <f>'[2]Electricity and CHPs_IN'!G$53-K385</f>
        <v>1.9979881201998739</v>
      </c>
      <c r="L516" s="1">
        <f>'[2]Electricity and CHPs_IN'!H$53-L385</f>
        <v>0.75548668747554448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8.3838543047359063E-3</v>
      </c>
      <c r="K517" s="1">
        <f>'[2]Electricity and CHPs_IN'!G$56-K386</f>
        <v>4.3370165541600694E-3</v>
      </c>
      <c r="L517" s="1">
        <f>'[2]Electricity and CHPs_IN'!H$56-L386</f>
        <v>1.775741846930339E-3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3.7546455541471714E-2</v>
      </c>
      <c r="J518" s="1">
        <f t="shared" si="523"/>
        <v>1.6818005900858083E-2</v>
      </c>
      <c r="K518" s="1">
        <f t="shared" si="523"/>
        <v>0.11237741228381883</v>
      </c>
      <c r="L518" s="1">
        <f t="shared" ref="L518" si="524">SUM(L519:L520)</f>
        <v>0.12672615780429183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1.0856534257618757E-2</v>
      </c>
      <c r="K519" s="1">
        <f>'[2]Electricity and CHPs_IN'!G$46-K399</f>
        <v>0.10475962246034781</v>
      </c>
      <c r="L519" s="1">
        <f>'[2]Electricity and CHPs_IN'!H$46-L399</f>
        <v>0.11791506841508853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3.7546455541471714E-2</v>
      </c>
      <c r="J520" s="1">
        <f>'[2]Electricity and CHPs_IN'!F$57-J400</f>
        <v>5.9614716432393258E-3</v>
      </c>
      <c r="K520" s="1">
        <f>'[2]Electricity and CHPs_IN'!G$57-K400</f>
        <v>7.6177898234710169E-3</v>
      </c>
      <c r="L520" s="1">
        <f>'[2]Electricity and CHPs_IN'!H$57-L400</f>
        <v>8.8110893892032922E-3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0.32978875891514586</v>
      </c>
      <c r="G522" s="13">
        <f t="shared" si="525"/>
        <v>0.32672878417957257</v>
      </c>
      <c r="H522" s="13">
        <f t="shared" si="525"/>
        <v>0.32635576690273183</v>
      </c>
      <c r="I522" s="13">
        <f t="shared" si="525"/>
        <v>0.33003755662641721</v>
      </c>
      <c r="J522" s="13">
        <f t="shared" si="525"/>
        <v>0.33042045344838689</v>
      </c>
      <c r="K522" s="13">
        <f t="shared" si="525"/>
        <v>0.33170584005147624</v>
      </c>
      <c r="L522" s="13" t="str">
        <f t="shared" ref="L522" si="526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0.79999942001599877</v>
      </c>
      <c r="G525" s="13">
        <f t="shared" si="527"/>
        <v>0.7999974306023836</v>
      </c>
      <c r="H525" s="13">
        <f t="shared" si="527"/>
        <v>0.79999152408428575</v>
      </c>
      <c r="I525" s="13">
        <f t="shared" si="527"/>
        <v>0.8000003896719029</v>
      </c>
      <c r="J525" s="13">
        <f t="shared" si="527"/>
        <v>0.80000022968157625</v>
      </c>
      <c r="K525" s="13">
        <f t="shared" si="527"/>
        <v>0.80000017544436453</v>
      </c>
      <c r="L525" s="13">
        <f t="shared" ref="L525" si="530">IFERROR(L69/L297,"-")</f>
        <v>0.80000017137253365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0.16705775538994125</v>
      </c>
      <c r="G526" s="13">
        <f t="shared" ref="G526:K526" si="531">IFERROR(G71/G299,"-")</f>
        <v>8.7742467967153442E-3</v>
      </c>
      <c r="H526" s="13">
        <f t="shared" si="531"/>
        <v>0.27739743823984586</v>
      </c>
      <c r="I526" s="13">
        <f t="shared" si="531"/>
        <v>0.28838557884329136</v>
      </c>
      <c r="J526" s="13">
        <f t="shared" si="531"/>
        <v>0.30257088705532265</v>
      </c>
      <c r="K526" s="13">
        <f t="shared" si="531"/>
        <v>0.31455624250417819</v>
      </c>
      <c r="L526" s="13">
        <f t="shared" ref="L526" si="532">IFERROR(L71/L299,"-")</f>
        <v>0.31108908860452983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1.3482147704995425E-2</v>
      </c>
      <c r="G527" s="13">
        <f t="shared" ref="G527:K527" si="533">IFERROR(G72/(G300+G413),"-")</f>
        <v>7.8100868692439892E-3</v>
      </c>
      <c r="H527" s="13">
        <f t="shared" si="533"/>
        <v>8.640631745857566E-2</v>
      </c>
      <c r="I527" s="13">
        <f t="shared" si="533"/>
        <v>9.7023022812451912E-2</v>
      </c>
      <c r="J527" s="13">
        <f t="shared" si="533"/>
        <v>9.5641985417485142E-2</v>
      </c>
      <c r="K527" s="13">
        <f t="shared" si="533"/>
        <v>0.10449909590232705</v>
      </c>
      <c r="L527" s="13">
        <f t="shared" ref="L527" si="534">IFERROR(L72/(L300+L413),"-")</f>
        <v>9.9472551124228259E-2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0.17675258022566595</v>
      </c>
      <c r="G528" s="13">
        <f t="shared" ref="G528:K528" si="535">IFERROR(G73/(G301+G465),"-")</f>
        <v>0.24540541429827398</v>
      </c>
      <c r="H528" s="13">
        <f t="shared" si="535"/>
        <v>0.24403020467547498</v>
      </c>
      <c r="I528" s="13">
        <f t="shared" si="535"/>
        <v>0.26224466066523744</v>
      </c>
      <c r="J528" s="13">
        <f t="shared" si="535"/>
        <v>0.26279414247527666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0.53752679046728524</v>
      </c>
      <c r="L529" s="13">
        <f t="shared" ref="L529" si="538">IFERROR(L83/L311,"-")</f>
        <v>0.58881149508867991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0.35056572372866673</v>
      </c>
      <c r="L530" s="13">
        <f t="shared" ref="L530" si="540">IFERROR(L84/L312,"-")</f>
        <v>0.41031998941231362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0.24087110133125075</v>
      </c>
      <c r="G532" s="13">
        <f t="shared" ref="G532:K532" si="543">IFERROR(G86/SUM(G314,G419),"-")</f>
        <v>0.23085303090331533</v>
      </c>
      <c r="H532" s="13">
        <f t="shared" si="543"/>
        <v>0.22947679017977402</v>
      </c>
      <c r="I532" s="13" t="str">
        <f t="shared" si="543"/>
        <v>-</v>
      </c>
      <c r="J532" s="13" t="str">
        <f t="shared" si="543"/>
        <v>-</v>
      </c>
      <c r="K532" s="13" t="str">
        <f t="shared" si="543"/>
        <v>-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0.31898083084519085</v>
      </c>
      <c r="G534" s="13">
        <f t="shared" ref="G534:K534" si="547">IFERROR(G88/SUM(G316,G471),"-'")</f>
        <v>0.3508103510636385</v>
      </c>
      <c r="H534" s="13">
        <f t="shared" si="547"/>
        <v>0.35106306829244405</v>
      </c>
      <c r="I534" s="13">
        <f t="shared" si="547"/>
        <v>0.35004093672242842</v>
      </c>
      <c r="J534" s="13">
        <f t="shared" si="547"/>
        <v>0.35974760195452715</v>
      </c>
      <c r="K534" s="13">
        <f t="shared" si="547"/>
        <v>0.21759839519963678</v>
      </c>
      <c r="L534" s="13">
        <f t="shared" ref="L534" si="548">IFERROR(L88/SUM(L316,L471),"-'")</f>
        <v>0.1542600136521457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0.31856303061484981</v>
      </c>
      <c r="L535" s="13">
        <f t="shared" ref="L535" si="551">IFERROR(L89/SUM(L317,L472),"-")</f>
        <v>0.2119964720508741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0.10727984592427926</v>
      </c>
      <c r="G537" s="13">
        <f t="shared" ref="G537:K537" si="554">IFERROR(G91/SUM(G319,G474),"-")</f>
        <v>0.250226726611256</v>
      </c>
      <c r="H537" s="13">
        <f t="shared" si="554"/>
        <v>0.10993897311523634</v>
      </c>
      <c r="I537" s="13" t="str">
        <f t="shared" si="554"/>
        <v>-</v>
      </c>
      <c r="J537" s="13">
        <f t="shared" si="554"/>
        <v>0.21081645807647068</v>
      </c>
      <c r="K537" s="13">
        <f t="shared" si="554"/>
        <v>0.2640358450068413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0.12870226583328442</v>
      </c>
      <c r="G539" s="13">
        <f t="shared" ref="G539:K539" si="558">IFERROR(G93/SUM(G321,G476),"-")</f>
        <v>0.27018975993813821</v>
      </c>
      <c r="H539" s="13">
        <f t="shared" si="558"/>
        <v>0.16926797045085262</v>
      </c>
      <c r="I539" s="13" t="str">
        <f t="shared" si="558"/>
        <v>-</v>
      </c>
      <c r="J539" s="13">
        <f t="shared" si="558"/>
        <v>0.2754530763726451</v>
      </c>
      <c r="K539" s="13">
        <f t="shared" si="558"/>
        <v>0.29211589700325802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0.36266500490775538</v>
      </c>
      <c r="G541" s="13">
        <f t="shared" ref="G541:K541" si="562">IFERROR(G95/SUM(G323,G478),"-")</f>
        <v>0.36274801265691214</v>
      </c>
      <c r="H541" s="13">
        <f t="shared" si="562"/>
        <v>0.36140732756624894</v>
      </c>
      <c r="I541" s="13">
        <f t="shared" si="562"/>
        <v>0.36401783982671282</v>
      </c>
      <c r="J541" s="13">
        <f t="shared" si="562"/>
        <v>0.25083885864095407</v>
      </c>
      <c r="K541" s="13">
        <f t="shared" si="562"/>
        <v>0.37492505126889886</v>
      </c>
      <c r="L541" s="13">
        <f t="shared" ref="L541" si="563">IFERROR(L95/SUM(L323,L478),"-")</f>
        <v>0.38508538296386108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0.30769985712425119</v>
      </c>
      <c r="G542" s="13">
        <f t="shared" ref="G542:K542" si="564">IFERROR(G96/SUM(G324,G479),"-")</f>
        <v>0.35968404562991307</v>
      </c>
      <c r="H542" s="13">
        <f t="shared" si="564"/>
        <v>0.34820778304549238</v>
      </c>
      <c r="I542" s="13" t="str">
        <f t="shared" si="564"/>
        <v>-</v>
      </c>
      <c r="J542" s="13">
        <f t="shared" si="564"/>
        <v>0.31062743046077457</v>
      </c>
      <c r="K542" s="13">
        <f t="shared" si="564"/>
        <v>0.33115047801654984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0.35745695376016556</v>
      </c>
      <c r="G544" s="13">
        <f t="shared" ref="G544:K544" si="568">IFERROR(G131/G359,"-")</f>
        <v>0.35745695376016601</v>
      </c>
      <c r="H544" s="13">
        <f t="shared" si="568"/>
        <v>0.35745695376016617</v>
      </c>
      <c r="I544" s="13">
        <f t="shared" si="568"/>
        <v>0.35745695376016579</v>
      </c>
      <c r="J544" s="13">
        <f t="shared" si="568"/>
        <v>0.3574569537601654</v>
      </c>
      <c r="K544" s="13">
        <f t="shared" si="568"/>
        <v>0.35745695376016606</v>
      </c>
      <c r="L544" s="13">
        <f t="shared" ref="L544" si="569">IFERROR(L131/L359,"-")</f>
        <v>0.35745695376016579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0.33470839322286872</v>
      </c>
      <c r="L545" s="13">
        <f t="shared" ref="L545" si="571">IFERROR(L132/L360,"-")</f>
        <v>0.34140256108732608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3.8383651712306913E-2</v>
      </c>
      <c r="G546" s="13">
        <f t="shared" ref="G546:K546" si="572">IFERROR(G133/SUM(G361,G428),"-")</f>
        <v>3.6853888381483006E-2</v>
      </c>
      <c r="H546" s="13">
        <f t="shared" si="572"/>
        <v>3.7055070274969119E-2</v>
      </c>
      <c r="I546" s="13">
        <f t="shared" si="572"/>
        <v>3.65763019578609E-2</v>
      </c>
      <c r="J546" s="13">
        <f t="shared" si="572"/>
        <v>3.5374514281155595E-2</v>
      </c>
      <c r="K546" s="13">
        <f t="shared" si="572"/>
        <v>3.2194339177417076E-2</v>
      </c>
      <c r="L546" s="13">
        <f t="shared" ref="L546" si="573">IFERROR(L133/SUM(L361,L428),"-")</f>
        <v>1.1648984923174576E-2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4.8242849883234788E-2</v>
      </c>
      <c r="L547" s="13">
        <f t="shared" ref="L547" si="575">IFERROR(L134/SUM(L362,L429),"-")</f>
        <v>5.3999999999999992E-2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6.1999117974029301E-2</v>
      </c>
      <c r="G548" s="13">
        <f t="shared" ref="G548:K548" si="576">IFERROR(G135/SUM(G363,G504),"-")</f>
        <v>6.19800337306309E-2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6.1972650567355229E-2</v>
      </c>
      <c r="K548" s="13">
        <f t="shared" si="576"/>
        <v>6.1972650567355292E-2</v>
      </c>
      <c r="L548" s="13">
        <f t="shared" ref="L548" si="577">IFERROR(L135/SUM(L363,L504),"-")</f>
        <v>6.1972650567355229E-2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4.788082384705044E-2</v>
      </c>
      <c r="L549" s="13">
        <f t="shared" ref="L549" si="579">IFERROR(L136/SUM(L364,L505),"-")</f>
        <v>4.5431760215214279E-2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0.24186570210011876</v>
      </c>
      <c r="G550" s="13">
        <f t="shared" ref="G550:K550" si="580">IFERROR(G152/SUM(G380,G437),"-")</f>
        <v>0.21141804762591651</v>
      </c>
      <c r="H550" s="13">
        <f t="shared" si="580"/>
        <v>0.19825775103440851</v>
      </c>
      <c r="I550" s="13">
        <f t="shared" si="580"/>
        <v>0.26435414648723699</v>
      </c>
      <c r="J550" s="13">
        <f t="shared" si="580"/>
        <v>0.29048400565190763</v>
      </c>
      <c r="K550" s="13">
        <f t="shared" si="580"/>
        <v>0.33308804884238546</v>
      </c>
      <c r="L550" s="13">
        <f t="shared" ref="L550" si="581">IFERROR(L152/SUM(L380,L437),"-")</f>
        <v>0.32854551266369042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0.21380121421399095</v>
      </c>
      <c r="L551" s="13">
        <f t="shared" ref="L551" si="583">IFERROR(L153/L381,"-")</f>
        <v>0.25798617267784851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0.19772839492937955</v>
      </c>
      <c r="G552" s="13">
        <f t="shared" ref="G552:K552" si="584">IFERROR(G154/SUM(G382,G513),"-")</f>
        <v>0.22551477972426151</v>
      </c>
      <c r="H552" s="13">
        <f t="shared" si="584"/>
        <v>0.26713763993513401</v>
      </c>
      <c r="I552" s="13">
        <f t="shared" si="584"/>
        <v>0.33820822076740026</v>
      </c>
      <c r="J552" s="13">
        <f t="shared" si="584"/>
        <v>0.34558545309525662</v>
      </c>
      <c r="K552" s="13">
        <f t="shared" si="584"/>
        <v>0.35254281254076936</v>
      </c>
      <c r="L552" s="13">
        <f t="shared" ref="L552" si="585">IFERROR(L154/SUM(L382,L513),"-")</f>
        <v>0.36753678580292154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0.33012566731198806</v>
      </c>
      <c r="L553" s="13">
        <f t="shared" ref="L553" si="587">IFERROR(L155/SUM(L383,L514),"-")</f>
        <v>0.34878600011056354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0.21569272601310835</v>
      </c>
      <c r="K554" s="13">
        <f t="shared" si="588"/>
        <v>0.23858657795791416</v>
      </c>
      <c r="L554" s="13">
        <f t="shared" ref="L554" si="589">IFERROR(L156/SUM(L384,L515),"-")</f>
        <v>0.23315030197414752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0.26755740105699444</v>
      </c>
      <c r="K555" s="13">
        <f t="shared" si="590"/>
        <v>0.27391954152854142</v>
      </c>
      <c r="L555" s="13">
        <f t="shared" ref="L555" si="591">IFERROR(L157/SUM(L385,L516),"-")</f>
        <v>0.28463873331657136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0.28561525300096763</v>
      </c>
      <c r="K556" s="13">
        <f t="shared" si="592"/>
        <v>0.29441696988505289</v>
      </c>
      <c r="L556" s="13">
        <f t="shared" ref="L556" si="593">IFERROR(L158/SUM(L386,L517),"-")</f>
        <v>0.27664031808116585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0.15000000000000013</v>
      </c>
      <c r="L563" s="13">
        <f t="shared" ref="L563" si="595">IFERROR(L168/L396,"-")</f>
        <v>0.15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0.42</v>
      </c>
      <c r="L564" s="13">
        <f t="shared" ref="L564" si="597">IFERROR(L170/SUM(L398,L439),"-")</f>
        <v>0.41999999999999965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 t="str">
        <f t="shared" si="598"/>
        <v>-</v>
      </c>
      <c r="J565" s="13">
        <f t="shared" si="598"/>
        <v>0.52250000000000008</v>
      </c>
      <c r="K565" s="13">
        <f t="shared" si="598"/>
        <v>0.54999999999999927</v>
      </c>
      <c r="L565" s="13">
        <f t="shared" ref="L565" si="599">IFERROR(L171/SUM(L399,L519),"-")</f>
        <v>0.59999999999999953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>
        <f t="shared" si="600"/>
        <v>0.47499999999999981</v>
      </c>
      <c r="J566" s="13">
        <f t="shared" si="600"/>
        <v>0.50749999999999951</v>
      </c>
      <c r="K566" s="13">
        <f t="shared" si="600"/>
        <v>0.54000000000000015</v>
      </c>
      <c r="L566" s="13">
        <f t="shared" ref="L566" si="601">IFERROR(L172/SUM(L400,L520),"-")</f>
        <v>0.57500000000000007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0.69931443266813453</v>
      </c>
      <c r="G567" s="13">
        <f t="shared" si="602"/>
        <v>0.69878423524609468</v>
      </c>
      <c r="H567" s="13">
        <f t="shared" si="602"/>
        <v>0.69985716822681543</v>
      </c>
      <c r="I567" s="13">
        <f t="shared" si="602"/>
        <v>0.69975307245190632</v>
      </c>
      <c r="J567" s="13">
        <f t="shared" si="602"/>
        <v>0.69992511547721592</v>
      </c>
      <c r="K567" s="13">
        <f t="shared" si="602"/>
        <v>0.69985554774433345</v>
      </c>
      <c r="L567" s="13">
        <f t="shared" ref="L567" si="603">IFERROR(L174/L402,"-")</f>
        <v>0.69997958677509908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0.86250664248352937</v>
      </c>
      <c r="G568" s="13">
        <f t="shared" si="602"/>
        <v>0.86447084629001925</v>
      </c>
      <c r="H568" s="13">
        <f t="shared" si="602"/>
        <v>0.86689614711489738</v>
      </c>
      <c r="I568" s="13">
        <f t="shared" si="602"/>
        <v>0.86689958784674026</v>
      </c>
      <c r="J568" s="13">
        <f t="shared" si="602"/>
        <v>0.86702322211029026</v>
      </c>
      <c r="K568" s="13">
        <f t="shared" si="602"/>
        <v>0.86703788621556599</v>
      </c>
      <c r="L568" s="13">
        <f t="shared" ref="L568" si="604">IFERROR(L175/L403,"-")</f>
        <v>0.8670390742406483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0.89405871520733504</v>
      </c>
      <c r="G569" s="13">
        <f t="shared" si="602"/>
        <v>0.89417455130065726</v>
      </c>
      <c r="H569" s="13">
        <f t="shared" si="602"/>
        <v>0.89396974012474595</v>
      </c>
      <c r="I569" s="13">
        <f t="shared" si="602"/>
        <v>0.89400318729257278</v>
      </c>
      <c r="J569" s="13">
        <f t="shared" si="602"/>
        <v>0.89424217417128371</v>
      </c>
      <c r="K569" s="13">
        <f t="shared" si="602"/>
        <v>0.89426850405315905</v>
      </c>
      <c r="L569" s="13">
        <f t="shared" ref="L569" si="605">IFERROR(L176/L404,"-")</f>
        <v>0.89426959830692854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0.90037042204866857</v>
      </c>
      <c r="G570" s="13">
        <f t="shared" si="602"/>
        <v>0.90138365288986189</v>
      </c>
      <c r="H570" s="13">
        <f t="shared" si="602"/>
        <v>0.90416832891720367</v>
      </c>
      <c r="I570" s="13">
        <f t="shared" si="602"/>
        <v>0.90422838182852994</v>
      </c>
      <c r="J570" s="13">
        <f t="shared" si="602"/>
        <v>0.90426453446849497</v>
      </c>
      <c r="K570" s="13">
        <f t="shared" si="602"/>
        <v>0.90426680437500206</v>
      </c>
      <c r="L570" s="13">
        <f t="shared" ref="L570" si="606">IFERROR(L177/L405,"-")</f>
        <v>0.90426751522968496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0.90057239409134626</v>
      </c>
      <c r="G571" s="13">
        <f t="shared" si="602"/>
        <v>0.9009833673623141</v>
      </c>
      <c r="H571" s="13">
        <f t="shared" si="602"/>
        <v>0.90416902250605558</v>
      </c>
      <c r="I571" s="13">
        <f t="shared" si="602"/>
        <v>0.90424131357424653</v>
      </c>
      <c r="J571" s="13">
        <f t="shared" si="602"/>
        <v>0.90426550976540276</v>
      </c>
      <c r="K571" s="13">
        <f t="shared" si="602"/>
        <v>0.90426600032910365</v>
      </c>
      <c r="L571" s="13">
        <f t="shared" ref="L571" si="607">IFERROR(L178/L406,"-")</f>
        <v>0.90426700043549424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0.90019641064915912</v>
      </c>
      <c r="G572" s="13">
        <f t="shared" si="602"/>
        <v>0.90064933187315177</v>
      </c>
      <c r="H572" s="13">
        <f t="shared" si="602"/>
        <v>0.90394942583023508</v>
      </c>
      <c r="I572" s="13">
        <f t="shared" si="602"/>
        <v>0.90401720579650591</v>
      </c>
      <c r="J572" s="13">
        <f t="shared" si="602"/>
        <v>0.90424168317479969</v>
      </c>
      <c r="K572" s="13">
        <f t="shared" si="602"/>
        <v>0.90426223665134509</v>
      </c>
      <c r="L572" s="13">
        <f t="shared" ref="L572" si="608">IFERROR(L179/L407,"-")</f>
        <v>0.90426445484145623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0.90052004376005956</v>
      </c>
      <c r="G573" s="13">
        <f t="shared" si="602"/>
        <v>0.90135119115981377</v>
      </c>
      <c r="H573" s="13">
        <f t="shared" si="602"/>
        <v>0.9041954928993251</v>
      </c>
      <c r="I573" s="13">
        <f t="shared" si="602"/>
        <v>0.90424707092473544</v>
      </c>
      <c r="J573" s="13">
        <f t="shared" si="602"/>
        <v>0.90426646724802784</v>
      </c>
      <c r="K573" s="13">
        <f t="shared" si="602"/>
        <v>0.90426831306883193</v>
      </c>
      <c r="L573" s="13">
        <f t="shared" ref="L573" si="609">IFERROR(L180/L408,"-")</f>
        <v>0.90426866576160458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0.59933876097681749</v>
      </c>
      <c r="G575" s="4">
        <f t="shared" ref="G575:K575" si="610">IFERROR(G212/G442,"-")</f>
        <v>0.50264691831800212</v>
      </c>
      <c r="H575" s="4">
        <f t="shared" si="610"/>
        <v>0.39720153030678867</v>
      </c>
      <c r="I575" s="4">
        <f t="shared" si="610"/>
        <v>0.38083293048419886</v>
      </c>
      <c r="J575" s="4">
        <f t="shared" si="610"/>
        <v>0.3808329304841987</v>
      </c>
      <c r="K575" s="4">
        <f t="shared" si="610"/>
        <v>0.38083293048419892</v>
      </c>
      <c r="L575" s="4">
        <f t="shared" ref="L575" si="611">IFERROR(L212/L442,"-")</f>
        <v>0.38083293048419886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 t="str">
        <f t="shared" si="612"/>
        <v>-</v>
      </c>
      <c r="L576" s="4" t="str">
        <f t="shared" ref="L576" si="613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14">IFERROR(G220/G450,"-")</f>
        <v>0.85445501111132449</v>
      </c>
      <c r="H577" s="4">
        <f t="shared" si="614"/>
        <v>0.85445501111132538</v>
      </c>
      <c r="I577" s="4">
        <f t="shared" si="614"/>
        <v>0.85445501111132494</v>
      </c>
      <c r="J577" s="4">
        <f t="shared" si="614"/>
        <v>0.85445501111132516</v>
      </c>
      <c r="K577" s="4">
        <f t="shared" si="614"/>
        <v>0.85445501111132438</v>
      </c>
      <c r="L577" s="4">
        <f t="shared" ref="L577" si="615">IFERROR(L220/L450,"-")</f>
        <v>0.85445501111132449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0.6999999999999994</v>
      </c>
      <c r="G578" s="4">
        <f t="shared" ref="G578:K578" si="616">IFERROR(G226/G456,"-")</f>
        <v>0.69999999999999929</v>
      </c>
      <c r="H578" s="4">
        <f t="shared" si="616"/>
        <v>0.69999999999999962</v>
      </c>
      <c r="I578" s="4">
        <f t="shared" si="616"/>
        <v>0.70000000000000007</v>
      </c>
      <c r="J578" s="4">
        <f t="shared" si="616"/>
        <v>0.69999999999999951</v>
      </c>
      <c r="K578" s="4">
        <f t="shared" si="616"/>
        <v>0.69999999999999951</v>
      </c>
      <c r="L578" s="4">
        <f t="shared" ref="L578" si="617">IFERROR(L226/L456,"-")</f>
        <v>0.70000000000000018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0.50000000000000033</v>
      </c>
      <c r="J579">
        <f t="shared" si="618"/>
        <v>0.50000000000000078</v>
      </c>
      <c r="K579">
        <f t="shared" si="618"/>
        <v>0.50000000000000022</v>
      </c>
      <c r="L579">
        <f t="shared" ref="L579" si="619">IFERROR(L228/L458,"-")</f>
        <v>0.49999999999999928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0.85000000000000109</v>
      </c>
      <c r="L580">
        <f t="shared" ref="L580" si="621">IFERROR(L230/L460,"-")</f>
        <v>0.85000000000000031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2.9999999999999978</v>
      </c>
      <c r="H581" s="4">
        <f t="shared" si="622"/>
        <v>3.0000000000000018</v>
      </c>
      <c r="I581" s="4">
        <f t="shared" si="622"/>
        <v>3.0000000000000009</v>
      </c>
      <c r="J581" s="4">
        <f t="shared" si="622"/>
        <v>2.999999999999996</v>
      </c>
      <c r="K581" s="4">
        <f t="shared" si="622"/>
        <v>2.9999999999999964</v>
      </c>
      <c r="L581" s="4">
        <f t="shared" ref="L581" si="623">IFERROR(L232/L462,"-")</f>
        <v>3.0000000000000013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0.13920514596278311</v>
      </c>
      <c r="G582" s="3">
        <f>[1]Other_transformation!C$5</f>
        <v>1.2028627611103246</v>
      </c>
      <c r="H582" s="3">
        <f>[1]Other_transformation!D$5</f>
        <v>1.2012468494261463</v>
      </c>
      <c r="I582" s="3">
        <f>[1]Other_transformation!E$5</f>
        <v>2.0055232869130191E-2</v>
      </c>
      <c r="J582" s="3">
        <f>[2]Other_transformation!F$5</f>
        <v>1.0336747124548799E-3</v>
      </c>
      <c r="K582" s="3">
        <f>[2]Other_transformation!G$5</f>
        <v>6.3524459509513367E-2</v>
      </c>
      <c r="L582" s="3">
        <f>[2]Other_transformation!H$5</f>
        <v>5.8809995225787164E-2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0.13920514596278311</v>
      </c>
      <c r="G583" s="1">
        <f t="shared" ref="G583:K583" si="624">G582</f>
        <v>1.2028627611103246</v>
      </c>
      <c r="H583" s="1">
        <f t="shared" si="624"/>
        <v>1.2012468494261463</v>
      </c>
      <c r="I583" s="1">
        <f t="shared" si="624"/>
        <v>2.0055232869130191E-2</v>
      </c>
      <c r="J583" s="1">
        <f t="shared" si="624"/>
        <v>1.0336747124548799E-3</v>
      </c>
      <c r="K583" s="1">
        <f t="shared" si="624"/>
        <v>6.3524459509513367E-2</v>
      </c>
      <c r="L583" s="1">
        <f t="shared" ref="L583" si="625">L582</f>
        <v>5.8809995225787164E-2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0.13920514596278311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1.2028627611103246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1.2012468494261463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2.0055232869130191E-2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1.0336747124548799E-3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6.3524459509513367E-2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5.8809995225787164E-2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5.429000692548535E-2</v>
      </c>
      <c r="G586" s="3">
        <f t="shared" ref="G586:L586" si="626">G587</f>
        <v>0.46911647683302599</v>
      </c>
      <c r="H586" s="3">
        <f t="shared" si="626"/>
        <v>0.46848627127619663</v>
      </c>
      <c r="I586" s="3">
        <f t="shared" si="626"/>
        <v>7.8215408189607639E-3</v>
      </c>
      <c r="J586" s="3">
        <f t="shared" si="626"/>
        <v>4.0313313785740265E-4</v>
      </c>
      <c r="K586" s="3">
        <f t="shared" si="626"/>
        <v>2.4774539208710176E-2</v>
      </c>
      <c r="L586" s="3">
        <f t="shared" si="626"/>
        <v>2.2935898138056961E-2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5.429000692548535E-2</v>
      </c>
      <c r="G587" s="1">
        <f t="shared" ref="G587:K587" si="627">SUM(G588:G589)</f>
        <v>0.46911647683302599</v>
      </c>
      <c r="H587" s="1">
        <f t="shared" si="627"/>
        <v>0.46848627127619663</v>
      </c>
      <c r="I587" s="1">
        <f t="shared" si="627"/>
        <v>7.8215408189607639E-3</v>
      </c>
      <c r="J587" s="1">
        <f t="shared" si="627"/>
        <v>4.0313313785740265E-4</v>
      </c>
      <c r="K587" s="1">
        <f t="shared" si="627"/>
        <v>2.4774539208710176E-2</v>
      </c>
      <c r="L587" s="1">
        <f t="shared" ref="L587" si="628">SUM(L588:L589)</f>
        <v>2.2935898138056961E-2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5.429000692548535E-2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0.46911647683302599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0.46848627127619663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7.8215408189607639E-3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4.0313313785740265E-4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2.4774539208710176E-2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2.2935898138056961E-2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0.40633982106536376</v>
      </c>
      <c r="G590" s="3">
        <f t="shared" ref="G590:K590" si="629">G591+G594</f>
        <v>3.5111563996810351</v>
      </c>
      <c r="H590" s="3">
        <f t="shared" si="629"/>
        <v>3.5064395534749204</v>
      </c>
      <c r="I590" s="3">
        <f t="shared" si="629"/>
        <v>5.8541224744991009E-2</v>
      </c>
      <c r="J590" s="3">
        <f t="shared" si="629"/>
        <v>3.0172964856557943E-3</v>
      </c>
      <c r="K590" s="3">
        <f t="shared" si="629"/>
        <v>0.18542789730826945</v>
      </c>
      <c r="L590" s="3">
        <f t="shared" ref="L590" si="630">L591+L594</f>
        <v>0.17166637606407267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0.39666506342095031</v>
      </c>
      <c r="G591" s="1">
        <f t="shared" ref="G591:K591" si="631">SUM(G592:G593)</f>
        <v>3.4275574377838676</v>
      </c>
      <c r="H591" s="1">
        <f t="shared" si="631"/>
        <v>3.4229528974398034</v>
      </c>
      <c r="I591" s="1">
        <f t="shared" si="631"/>
        <v>5.7147386060586461E-2</v>
      </c>
      <c r="J591" s="1">
        <f t="shared" si="631"/>
        <v>2.94545609314018E-3</v>
      </c>
      <c r="K591" s="1">
        <f t="shared" si="631"/>
        <v>0.18101294737235826</v>
      </c>
      <c r="L591" s="1">
        <f t="shared" ref="L591" si="632">SUM(L592:L593)</f>
        <v>0.16757908139588046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0.39666506342095031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3.4275574377838676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3.4229528974398034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5.7147386060586461E-2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2.94545609314018E-3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0.18101294737235826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0.16757908139588046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9.6747576444134228E-3</v>
      </c>
      <c r="G594" s="1">
        <f t="shared" ref="G594:K594" si="633">SUM(G595:G596)</f>
        <v>8.3598961897167479E-2</v>
      </c>
      <c r="H594" s="1">
        <f t="shared" si="633"/>
        <v>8.3486656035117041E-2</v>
      </c>
      <c r="I594" s="1">
        <f t="shared" si="633"/>
        <v>1.3938386844045481E-3</v>
      </c>
      <c r="J594" s="1">
        <f t="shared" si="633"/>
        <v>7.184039251561409E-5</v>
      </c>
      <c r="K594" s="1">
        <f t="shared" si="633"/>
        <v>4.4149499359111772E-3</v>
      </c>
      <c r="L594" s="1">
        <f t="shared" ref="L594" si="634">SUM(L595:L596)</f>
        <v>4.0872946681922082E-3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9.6747576444134228E-3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8.3598961897167479E-2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8.3486656035117041E-2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1.3938386844045481E-3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7.184039251561409E-5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4.4149499359111772E-3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4.0872946681922082E-3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35">IFERROR(SUM(G584,G588)/SUM(G592,G595),"-")</f>
        <v>0.47619047619047639</v>
      </c>
      <c r="H598" s="4">
        <f t="shared" si="635"/>
        <v>0.47619047619047616</v>
      </c>
      <c r="I598" s="4">
        <f t="shared" si="635"/>
        <v>0.47619047619047611</v>
      </c>
      <c r="J598" s="4">
        <f t="shared" si="635"/>
        <v>0.476190476190476</v>
      </c>
      <c r="K598" s="4">
        <f t="shared" si="635"/>
        <v>0.47619047619047616</v>
      </c>
      <c r="L598" s="4">
        <f t="shared" ref="L598" si="636">IFERROR(SUM(L584,L588)/SUM(L592,L595),"-")</f>
        <v>0.47619047619047616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1.4976588400328694</v>
      </c>
      <c r="G600" s="1">
        <f>[1]Other_transformation!C$12</f>
        <v>0.33732625099450675</v>
      </c>
      <c r="H600" s="1">
        <f>[1]Other_transformation!D$12</f>
        <v>1.5378252262442138</v>
      </c>
      <c r="I600" s="1">
        <f>[1]Other_transformation!E$12</f>
        <v>1.985991608904857</v>
      </c>
      <c r="J600" s="1">
        <f>[2]Other_transformation!F$12</f>
        <v>3.2407171247857179E-4</v>
      </c>
      <c r="K600" s="1">
        <f>[2]Other_transformation!G$12</f>
        <v>4.5504476860026459E-4</v>
      </c>
      <c r="L600" s="1">
        <f>[2]Other_transformation!H$12</f>
        <v>5.2989314194469409E-4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1.4976588400328694</v>
      </c>
      <c r="G601" s="1">
        <f t="shared" ref="G601:K601" si="638">SUM(G602:G603)</f>
        <v>0.33732625099450675</v>
      </c>
      <c r="H601" s="1">
        <f t="shared" si="638"/>
        <v>1.5378252262442138</v>
      </c>
      <c r="I601" s="1">
        <f t="shared" si="638"/>
        <v>1.985991608904857</v>
      </c>
      <c r="J601" s="1">
        <f t="shared" si="638"/>
        <v>3.2407171247857179E-4</v>
      </c>
      <c r="K601" s="1">
        <f t="shared" si="638"/>
        <v>4.5504476860026459E-4</v>
      </c>
      <c r="L601" s="1">
        <f t="shared" ref="L601" si="639">SUM(L602:L603)</f>
        <v>5.2989314194469409E-4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1.4976588400328694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0.33732625099450675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1.5378252262442138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1.985991608904857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3.2407171247857179E-4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4.5504476860026459E-4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5.2989314194469409E-4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5.5862674733226019</v>
      </c>
      <c r="G604" s="3">
        <f t="shared" ref="G604:K604" si="641">G605+G608</f>
        <v>1.2582269162095112</v>
      </c>
      <c r="H604" s="3">
        <f t="shared" si="641"/>
        <v>5.7360880938909116</v>
      </c>
      <c r="I604" s="3">
        <f t="shared" si="641"/>
        <v>7.4077487012151142</v>
      </c>
      <c r="J604" s="3">
        <f t="shared" si="641"/>
        <v>1.2087874875450731E-3</v>
      </c>
      <c r="K604" s="3">
        <f t="shared" si="641"/>
        <v>1.6973169868789869E-3</v>
      </c>
      <c r="L604" s="3">
        <f t="shared" ref="L604" si="642">L605+L608</f>
        <v>1.9765014194537073E-3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3.1301069756686961</v>
      </c>
      <c r="G605" s="1">
        <f t="shared" ref="G605:K605" si="643">SUM(G606:G607)</f>
        <v>0.70501186457851961</v>
      </c>
      <c r="H605" s="1">
        <f t="shared" si="643"/>
        <v>3.2140547228504026</v>
      </c>
      <c r="I605" s="1">
        <f t="shared" si="643"/>
        <v>4.1507224626111485</v>
      </c>
      <c r="J605" s="1">
        <f t="shared" si="643"/>
        <v>6.7730987908021516E-4</v>
      </c>
      <c r="K605" s="1">
        <f t="shared" si="643"/>
        <v>9.5104356637455364E-4</v>
      </c>
      <c r="L605" s="1">
        <f t="shared" ref="L605" si="644">SUM(L606:L607)</f>
        <v>1.1074766666644099E-3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3.1301069756686961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0.70501186457851961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3.2140547228504026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4.1507224626111485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6.7730987908021516E-4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9.5104356637455364E-4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1.1074766666644099E-3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2.4561604976539053</v>
      </c>
      <c r="G608" s="1">
        <f t="shared" ref="G608:K608" si="645">SUM(G609:G610)</f>
        <v>0.55321505163099161</v>
      </c>
      <c r="H608" s="1">
        <f t="shared" si="645"/>
        <v>2.5220333710405085</v>
      </c>
      <c r="I608" s="1">
        <f t="shared" si="645"/>
        <v>3.2570262386039661</v>
      </c>
      <c r="J608" s="1">
        <f t="shared" si="645"/>
        <v>5.3147760846485807E-4</v>
      </c>
      <c r="K608" s="1">
        <f t="shared" si="645"/>
        <v>7.4627342050443335E-4</v>
      </c>
      <c r="L608" s="1">
        <f t="shared" ref="L608" si="646">SUM(L609:L610)</f>
        <v>8.6902475278929751E-4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2.4561604976539053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0.55321505163099161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2.5220333710405085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3.2570262386039661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5.3147760846485807E-4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7.4627342050443335E-4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8.6902475278929751E-4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0.2680965147453081</v>
      </c>
      <c r="H612">
        <f t="shared" si="647"/>
        <v>0.2680965147453086</v>
      </c>
      <c r="I612">
        <f t="shared" si="647"/>
        <v>0.26809651474530838</v>
      </c>
      <c r="J612">
        <f t="shared" si="647"/>
        <v>0.26809651474530821</v>
      </c>
      <c r="K612">
        <f t="shared" si="647"/>
        <v>0.26809651474530832</v>
      </c>
      <c r="L612">
        <f t="shared" ref="L612" si="648">IFERROR(L602/SUM(L606,L609),"-")</f>
        <v>0.26809651474530855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6.9575359167281103</v>
      </c>
      <c r="G614" s="3">
        <f t="shared" ref="G614" si="650">G615+G616+G621</f>
        <v>10.781614018943737</v>
      </c>
      <c r="H614" s="3">
        <f t="shared" ref="H614" si="651">H615+H616+H621</f>
        <v>10.307897165196621</v>
      </c>
      <c r="I614" s="3">
        <f t="shared" ref="I614" si="652">I615+I616+I621</f>
        <v>11.312682923245983</v>
      </c>
      <c r="J614" s="3">
        <f t="shared" ref="J614" si="653">J615+J616+J621</f>
        <v>12.057008614046408</v>
      </c>
      <c r="K614" s="3">
        <f t="shared" ref="K614:L614" si="654">K615+K616+K621</f>
        <v>16.670869796526393</v>
      </c>
      <c r="L614" s="3">
        <f t="shared" si="654"/>
        <v>18.259231229262348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1.3280740866753387</v>
      </c>
      <c r="G615" s="1">
        <f>[1]Other_transformation!C$19</f>
        <v>4.3847409383883615</v>
      </c>
      <c r="H615" s="1">
        <f>[1]Other_transformation!D$19</f>
        <v>4.3847627332042052</v>
      </c>
      <c r="I615" s="1">
        <f>[1]Other_transformation!E$19</f>
        <v>4.3847661262857534</v>
      </c>
      <c r="J615" s="1">
        <f>[2]Other_transformation!F$19</f>
        <v>4.384767594218733</v>
      </c>
      <c r="K615" s="1">
        <f>[2]Other_transformation!G$19</f>
        <v>6.0700282868418682</v>
      </c>
      <c r="L615" s="1">
        <f>[2]Other_transformation!H$19</f>
        <v>6.2044272602929329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5.6294618300527715</v>
      </c>
      <c r="G616" s="1">
        <f>[1]Other_transformation!C$20</f>
        <v>6.3922909624357347</v>
      </c>
      <c r="H616" s="1">
        <f>[1]Other_transformation!D$20</f>
        <v>5.9210631640321649</v>
      </c>
      <c r="I616" s="1">
        <f>[1]Other_transformation!E$20</f>
        <v>6.9211513247449021</v>
      </c>
      <c r="J616" s="1">
        <f>[2]Other_transformation!F$20</f>
        <v>7.6715591444915621</v>
      </c>
      <c r="K616" s="1">
        <f>[2]Other_transformation!G$20</f>
        <v>8.5092882418545308</v>
      </c>
      <c r="L616" s="1">
        <f>[2]Other_transformation!H$20</f>
        <v>9.9632335760672444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5.6294618300527715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6.3922909624357347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5.9210631640321649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6.9211513247449021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7.6715591444915621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8.4080379194659276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9.8447309541575176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0.10125032238860261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0.11850262190972602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4.5821181196408333E-3</v>
      </c>
      <c r="H621" s="1">
        <f>[1]Other_transformation!D$21</f>
        <v>2.0712679602506927E-3</v>
      </c>
      <c r="I621" s="1">
        <f>[1]Other_transformation!E$21</f>
        <v>6.7654722153275993E-3</v>
      </c>
      <c r="J621" s="1">
        <f>[2]Other_transformation!F$21</f>
        <v>6.8187533611363961E-4</v>
      </c>
      <c r="K621" s="1">
        <f>[2]Other_transformation!G$21</f>
        <v>2.0915532678299935</v>
      </c>
      <c r="L621" s="1">
        <f>[2]Other_transformation!H$21</f>
        <v>2.0915703929021685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4.5821181196408333E-3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2.0712679602506927E-3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6.7654722153275993E-3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6.8187533611363961E-4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2.0915532678299935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2.0915703929021685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0.11258923660105545</v>
      </c>
      <c r="G624" s="3">
        <f t="shared" ref="G624" si="655">G625+G626+G631</f>
        <v>0.1280291039735004</v>
      </c>
      <c r="H624" s="3">
        <f t="shared" ref="H624" si="656">H625+H626+H631</f>
        <v>0.11850411399905326</v>
      </c>
      <c r="I624" s="3">
        <f t="shared" ref="I624" si="657">I625+I626+I631</f>
        <v>0.13869364538351137</v>
      </c>
      <c r="J624" s="3">
        <f t="shared" ref="J624" si="658">J625+J626+J631</f>
        <v>0.15345845790327578</v>
      </c>
      <c r="K624" s="3">
        <f t="shared" ref="K624:L624" si="659">K625+K626+K631</f>
        <v>0.25182288910251843</v>
      </c>
      <c r="L624" s="3">
        <f t="shared" si="659"/>
        <v>0.28055743479923712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0.11258923660105545</v>
      </c>
      <c r="G626" s="1">
        <f t="shared" ref="G626:K626" si="660">SUM(G627:G630)</f>
        <v>0.12784581924871477</v>
      </c>
      <c r="H626" s="1">
        <f t="shared" si="660"/>
        <v>0.11842126328064324</v>
      </c>
      <c r="I626" s="1">
        <f t="shared" si="660"/>
        <v>0.13842302649489827</v>
      </c>
      <c r="J626" s="1">
        <f t="shared" si="660"/>
        <v>0.15343118288983124</v>
      </c>
      <c r="K626" s="1">
        <f t="shared" si="660"/>
        <v>0.16816075838931854</v>
      </c>
      <c r="L626" s="1">
        <f t="shared" ref="L626" si="661">SUM(L627:L630)</f>
        <v>0.19689461908315029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0.11258923660105545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0.12784581924871477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0.11842126328064324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0.13842302649489827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0.15343118288983124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0.16816075838931854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0.19689461908315029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1.8328472478563364E-4</v>
      </c>
      <c r="H631" s="1">
        <f t="shared" si="662"/>
        <v>8.2850718410027737E-5</v>
      </c>
      <c r="I631" s="1">
        <f t="shared" si="662"/>
        <v>2.7061888861310462E-4</v>
      </c>
      <c r="J631" s="1">
        <f t="shared" si="662"/>
        <v>2.7275013444545613E-5</v>
      </c>
      <c r="K631" s="1">
        <f t="shared" si="662"/>
        <v>8.3662130713199903E-2</v>
      </c>
      <c r="L631" s="1">
        <f t="shared" ref="L631" si="663">SUM(L632:L633)</f>
        <v>8.366281571608683E-2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1.8328472478563364E-4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8.2850718410027737E-5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2.7061888861310462E-4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2.7275013444545613E-5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8.3662130713199903E-2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8.366281571608683E-2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5.4985417435690089E-4</v>
      </c>
      <c r="H634" s="3">
        <f t="shared" ref="H634" si="665">H635+H636+H641</f>
        <v>2.4855215523008283E-4</v>
      </c>
      <c r="I634" s="3">
        <f t="shared" ref="I634" si="666">I635+I636+I641</f>
        <v>8.1185666583931209E-4</v>
      </c>
      <c r="J634" s="3">
        <f t="shared" ref="J634" si="667">J635+J636+J641</f>
        <v>8.1825040333636764E-5</v>
      </c>
      <c r="K634" s="3">
        <f t="shared" ref="K634:L634" si="668">K635+K636+K641</f>
        <v>0.25098639213959917</v>
      </c>
      <c r="L634" s="3">
        <f t="shared" si="668"/>
        <v>0.25098844714826013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5.4985417435690089E-4</v>
      </c>
      <c r="H641" s="1">
        <f t="shared" ref="H641" si="675">SUM(H642:H643)</f>
        <v>2.4855215523008283E-4</v>
      </c>
      <c r="I641" s="1">
        <f t="shared" ref="I641" si="676">SUM(I642:I643)</f>
        <v>8.1185666583931209E-4</v>
      </c>
      <c r="J641" s="1">
        <f t="shared" ref="J641" si="677">SUM(J642:J643)</f>
        <v>8.1825040333636764E-5</v>
      </c>
      <c r="K641" s="1">
        <f t="shared" ref="K641:L641" si="678">SUM(K642:K643)</f>
        <v>0.25098639213959917</v>
      </c>
      <c r="L641" s="1">
        <f t="shared" si="678"/>
        <v>0.25098844714826013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5.4985417435690089E-4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2.4855215523008283E-4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8.1185666583931209E-4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8.1825040333636764E-5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0.25098639213959917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0.25098844714826013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13.477749400250779</v>
      </c>
      <c r="G644" s="3">
        <f t="shared" ref="G644" si="679">G645+G646+G651</f>
        <v>23.537632660948859</v>
      </c>
      <c r="H644" s="3">
        <f t="shared" ref="H644" si="680">H645+H646+H651</f>
        <v>22.724062806180502</v>
      </c>
      <c r="I644" s="3">
        <f t="shared" ref="I644" si="681">I645+I646+I651</f>
        <v>24.449989843615036</v>
      </c>
      <c r="J644" s="3">
        <f t="shared" ref="J644" si="682">J645+J646+J651</f>
        <v>25.73205383161223</v>
      </c>
      <c r="K644" s="3">
        <f t="shared" ref="K644:L644" si="683">K645+K646+K651</f>
        <v>34.785541758020756</v>
      </c>
      <c r="L644" s="3">
        <f t="shared" si="683"/>
        <v>37.664883135332431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3.7982918878914633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12.540359083790694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12.540421416964007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12.540431121177249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12.540435319465571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17.360280900367705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17.744661964437775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9.6794575123593152</v>
      </c>
      <c r="G646" s="1">
        <f t="shared" ref="G646" si="684">SUM(G647:G650)</f>
        <v>10.991087717696651</v>
      </c>
      <c r="H646" s="1">
        <f t="shared" ref="H646" si="685">SUM(H647:H650)</f>
        <v>10.180845177470154</v>
      </c>
      <c r="I646" s="1">
        <f t="shared" ref="I646" si="686">SUM(I647:I650)</f>
        <v>11.900425334947096</v>
      </c>
      <c r="J646" s="1">
        <f t="shared" ref="J646" si="687">SUM(J647:J650)</f>
        <v>13.190697980442907</v>
      </c>
      <c r="K646" s="1">
        <f t="shared" ref="K646:L646" si="688">SUM(K647:K650)</f>
        <v>14.601663946082562</v>
      </c>
      <c r="L646" s="1">
        <f t="shared" si="688"/>
        <v>17.096601140476725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9.6794575123593152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10.991087717696651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10.180845177470154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11.900425334947096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13.190697980442907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14.457020628384559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16.927311680605687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0.14464331769800373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0.16928945987103727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6.1858594615151257E-3</v>
      </c>
      <c r="H651" s="1">
        <f t="shared" ref="H651" si="690">SUM(H652:H653)</f>
        <v>2.7962117463384306E-3</v>
      </c>
      <c r="I651" s="1">
        <f t="shared" ref="I651" si="691">SUM(I652:I653)</f>
        <v>9.1333874906922713E-3</v>
      </c>
      <c r="J651" s="1">
        <f t="shared" ref="J651" si="692">SUM(J652:J653)</f>
        <v>9.2053170375341322E-4</v>
      </c>
      <c r="K651" s="1">
        <f t="shared" ref="K651:L651" si="693">SUM(K652:K653)</f>
        <v>2.8235969115704918</v>
      </c>
      <c r="L651" s="1">
        <f t="shared" si="693"/>
        <v>2.8236200304179273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6.1858594615151257E-3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2.7962117463384306E-3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9.1333874906922713E-3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9.2053170375341322E-4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2.8235969115704918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2.8236200304179273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0.34965034965035013</v>
      </c>
      <c r="G655" s="4">
        <f t="shared" si="694"/>
        <v>0.34965034965035019</v>
      </c>
      <c r="H655" s="4">
        <f t="shared" si="694"/>
        <v>0.34965034965035019</v>
      </c>
      <c r="I655" s="4">
        <f t="shared" si="694"/>
        <v>0.3496503496503498</v>
      </c>
      <c r="J655" s="4">
        <f t="shared" si="694"/>
        <v>0.3496503496503498</v>
      </c>
      <c r="K655" s="4">
        <f t="shared" si="694"/>
        <v>0.34965034965035041</v>
      </c>
      <c r="L655" s="4">
        <f t="shared" ref="L655" si="695">IFERROR(SUM(L635,L625,L615)/L645,"-")</f>
        <v>0.34965034965034991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0.59322033898305038</v>
      </c>
      <c r="G656" s="4">
        <f t="shared" si="696"/>
        <v>0.59322033898305049</v>
      </c>
      <c r="H656" s="4">
        <f t="shared" si="696"/>
        <v>0.59322033898305138</v>
      </c>
      <c r="I656" s="4">
        <f t="shared" si="696"/>
        <v>0.5932203389830506</v>
      </c>
      <c r="J656" s="4">
        <f t="shared" si="696"/>
        <v>0.59322033898305149</v>
      </c>
      <c r="K656" s="4">
        <f t="shared" si="696"/>
        <v>0.59322033898305082</v>
      </c>
      <c r="L656" s="4">
        <f t="shared" ref="L656" si="697">IFERROR(SUM(L637,L627,L617)/L647,"-")</f>
        <v>0.59322033898305115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0.7</v>
      </c>
      <c r="L658" s="4">
        <f t="shared" ref="L658" si="699">IFERROR(SUM(L639,L629,L619)/L649,"-")</f>
        <v>0.69999999999999962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0.85925925925925928</v>
      </c>
      <c r="H660" s="4">
        <f t="shared" si="701"/>
        <v>0.8592592592592605</v>
      </c>
      <c r="I660" s="4">
        <f t="shared" si="701"/>
        <v>0.85925925925925828</v>
      </c>
      <c r="J660" s="4">
        <f t="shared" si="701"/>
        <v>0.8592592592592595</v>
      </c>
      <c r="K660" s="4">
        <f t="shared" si="701"/>
        <v>0.85925925925925906</v>
      </c>
      <c r="L660" s="4">
        <f t="shared" ref="L660" si="702">IFERROR(SUM(L642,L632,L622)/L652,"-")</f>
        <v>0.85925925925925939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5.0244558197298922E-3</v>
      </c>
      <c r="G662" s="3">
        <f t="shared" ref="G662:K662" si="704">SUM(G663,G667,G676)</f>
        <v>2.0506674049789439E-2</v>
      </c>
      <c r="H662" s="3">
        <f t="shared" si="704"/>
        <v>2.1291578446892351E-2</v>
      </c>
      <c r="I662" s="3">
        <f t="shared" si="704"/>
        <v>9.9308030190094682E-2</v>
      </c>
      <c r="J662" s="3">
        <f t="shared" si="704"/>
        <v>9.821346622732495</v>
      </c>
      <c r="K662" s="3">
        <f t="shared" si="704"/>
        <v>31.648545442967183</v>
      </c>
      <c r="L662" s="3">
        <f t="shared" ref="L662" si="705">SUM(L663,L667,L676)</f>
        <v>37.55704670546956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5.0244558197298922E-3</v>
      </c>
      <c r="G663" s="1">
        <f>[1]Other_transformation!C$28</f>
        <v>2.0506674049789439E-2</v>
      </c>
      <c r="H663" s="1">
        <f>[1]Other_transformation!D$28</f>
        <v>2.1291578446892351E-2</v>
      </c>
      <c r="I663" s="1">
        <f>[1]Other_transformation!E$28</f>
        <v>9.0407771843223725E-2</v>
      </c>
      <c r="J663" s="1">
        <f>[2]Other_transformation!F$28</f>
        <v>8.8714413739847338</v>
      </c>
      <c r="K663" s="1">
        <f>[2]Other_transformation!G$28</f>
        <v>29.603771393230119</v>
      </c>
      <c r="L663" s="1">
        <f>[2]Other_transformation!H$28</f>
        <v>35.69078886764369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5.0244558197298922E-3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2.0506674049789439E-2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2.1291578446892351E-2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9.0276552669671578E-2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8.8712618087788631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17.154039729352512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22.551354089013049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1.3121917355214154E-4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1.7956520587011132E-4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12.234498250430669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12.944887599169746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0.21523341344693878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0.19454717946089503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7.3019548971080652E-4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3.5358505028280115E-4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3.7661043942800536E-4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7.3019548971080652E-4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3.5358505028280115E-4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3.7661043942800536E-4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8.9002583468709602E-3</v>
      </c>
      <c r="J676" s="1">
        <f t="shared" si="720"/>
        <v>0.9499052487477605</v>
      </c>
      <c r="K676" s="1">
        <f t="shared" si="720"/>
        <v>2.044774049737065</v>
      </c>
      <c r="L676" s="1">
        <f t="shared" ref="L676" si="721">SUM(L677:L678)</f>
        <v>1.865527642336164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8.9002583468709602E-3</v>
      </c>
      <c r="J677" s="1">
        <f>[2]Other_transformation!F31</f>
        <v>0.9499052487477605</v>
      </c>
      <c r="K677" s="1">
        <f>[2]Other_transformation!G31</f>
        <v>2.044774049737065</v>
      </c>
      <c r="L677" s="1">
        <f>[2]Other_transformation!H31</f>
        <v>1.865527642336164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7.3349719996056804E-3</v>
      </c>
      <c r="G679" s="3">
        <f t="shared" ref="G679:K679" si="722">SUM(G680,G684,G686,G695)</f>
        <v>2.9548521685575584E-2</v>
      </c>
      <c r="H679" s="3">
        <f t="shared" si="722"/>
        <v>3.0094103811861984E-2</v>
      </c>
      <c r="I679" s="3">
        <f t="shared" si="722"/>
        <v>0.13868002671038823</v>
      </c>
      <c r="J679" s="3">
        <f t="shared" si="722"/>
        <v>13.372466277017793</v>
      </c>
      <c r="K679" s="3">
        <f t="shared" si="722"/>
        <v>41.576045645123862</v>
      </c>
      <c r="L679" s="3">
        <f t="shared" ref="L679" si="723">SUM(L680,L684,L686,L695)</f>
        <v>46.614486945414654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7.3349719996056804E-3</v>
      </c>
      <c r="G680" s="1">
        <f t="shared" ref="G680:K680" si="724">SUM(G681:G683)</f>
        <v>2.9548521685575584E-2</v>
      </c>
      <c r="H680" s="1">
        <f t="shared" si="724"/>
        <v>3.0094103811861984E-2</v>
      </c>
      <c r="I680" s="1">
        <f t="shared" si="724"/>
        <v>0.12384626279893661</v>
      </c>
      <c r="J680" s="1">
        <f t="shared" si="724"/>
        <v>11.789290862438191</v>
      </c>
      <c r="K680" s="1">
        <f t="shared" si="724"/>
        <v>38.135927580909097</v>
      </c>
      <c r="L680" s="1">
        <f t="shared" ref="L680" si="725">SUM(L681:L683)</f>
        <v>43.482646799196012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7.3349719996056804E-3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2.9548521685575584E-2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3.0094103811861984E-2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0.12366651050639943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11.789052237579892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22.134244812067745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27.501651328064689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1.7975229253718033E-4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2.386248582991512E-4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15.786449355394417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15.786448291670423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0.21523341344693878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0.19454717946089503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3.2161314652990894E-2</v>
      </c>
      <c r="L684" s="1">
        <f t="shared" si="732"/>
        <v>2.1616353273432757E-2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3.2161314652990894E-2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2.1616353273432757E-2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1.0110557182692918E-3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4.6524348721421153E-4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5.4581223105508025E-4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1.0110557182692918E-3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4.6524348721421153E-4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5.4581223105508025E-4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1.483376391145161E-2</v>
      </c>
      <c r="J695" s="1">
        <f t="shared" si="746"/>
        <v>1.5831754145796009</v>
      </c>
      <c r="K695" s="1">
        <f t="shared" si="746"/>
        <v>3.4079567495617735</v>
      </c>
      <c r="L695" s="1">
        <f t="shared" ref="L695" si="747">SUM(L696:L697)</f>
        <v>3.1092127372269402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1.483376391145161E-2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1.5831754145796009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3.4079567495617735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3.1092127372269402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49">IFERROR(G664/G681,"-")</f>
        <v>0.69399999999999951</v>
      </c>
      <c r="H699" s="4">
        <f t="shared" si="749"/>
        <v>0.70749999999999991</v>
      </c>
      <c r="I699" s="4">
        <f t="shared" si="749"/>
        <v>0.73</v>
      </c>
      <c r="J699" s="4">
        <f t="shared" si="749"/>
        <v>0.7524999999999995</v>
      </c>
      <c r="K699" s="4">
        <f t="shared" si="749"/>
        <v>0.77500000000000047</v>
      </c>
      <c r="L699" s="4">
        <f t="shared" ref="L699" si="750">IFERROR(L664/L681,"-")</f>
        <v>0.82000000000000017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0.72999999999999943</v>
      </c>
      <c r="J700" s="4">
        <f t="shared" si="752"/>
        <v>0.75250000000000017</v>
      </c>
      <c r="K700" s="4">
        <f t="shared" si="752"/>
        <v>0.77499999999999969</v>
      </c>
      <c r="L700" s="4">
        <f t="shared" ref="L700" si="753">IFERROR(L665/L682,"-")</f>
        <v>0.82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0.86999999999999977</v>
      </c>
      <c r="L701" s="4">
        <f t="shared" ref="L701" si="755">IFERROR(L666/SUM(L683,L685),"-")</f>
        <v>0.90000000000000013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0.7600000000000009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0.69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>
        <f t="shared" si="759"/>
        <v>0.59999999999999964</v>
      </c>
      <c r="J704" s="4">
        <f t="shared" si="759"/>
        <v>0.6</v>
      </c>
      <c r="K704" s="4">
        <f t="shared" si="759"/>
        <v>0.60000000000000031</v>
      </c>
      <c r="L704" s="4">
        <f t="shared" ref="L704" si="760">IFERROR(L677/L696,"-")</f>
        <v>0.6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1.176538351110521</v>
      </c>
      <c r="G706" s="1">
        <f>[1]Other_transformation!C$39</f>
        <v>4.0703958725878522</v>
      </c>
      <c r="H706" s="1">
        <f>[1]Other_transformation!D$39</f>
        <v>4.0703871199199924</v>
      </c>
      <c r="I706" s="1">
        <f>[1]Other_transformation!E$39</f>
        <v>4.0711611860050017</v>
      </c>
      <c r="J706" s="1">
        <f>[2]Other_transformation!F$39</f>
        <v>3.9895621500421119</v>
      </c>
      <c r="K706" s="1">
        <f>[2]Other_transformation!G$39</f>
        <v>8.4474437490112759</v>
      </c>
      <c r="L706" s="1">
        <f>[2]Other_transformation!H$39</f>
        <v>9.3420707925188857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1.2891444077490366</v>
      </c>
      <c r="G707" s="1">
        <f>[1]Other_transformation!C$38</f>
        <v>4.4599719775547415</v>
      </c>
      <c r="H707" s="1">
        <f>[1]Other_transformation!D$38</f>
        <v>4.4599623871722374</v>
      </c>
      <c r="I707" s="1">
        <f>[1]Other_transformation!E$38</f>
        <v>4.4608105388400263</v>
      </c>
      <c r="J707" s="1">
        <f>[2]Other_transformation!F$38</f>
        <v>4.3714016888947773</v>
      </c>
      <c r="K707" s="1">
        <f>[2]Other_transformation!G$38</f>
        <v>9.2559455104319373</v>
      </c>
      <c r="L707" s="1">
        <f>[2]Other_transformation!H$38</f>
        <v>10.236196982107561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0.91265054871925788</v>
      </c>
      <c r="G708" s="14">
        <f t="shared" si="762"/>
        <v>0.91265054871925866</v>
      </c>
      <c r="H708" s="14">
        <f t="shared" si="762"/>
        <v>0.91265054871925755</v>
      </c>
      <c r="I708" s="14">
        <f t="shared" si="762"/>
        <v>0.91265054871925855</v>
      </c>
      <c r="J708" s="14">
        <f t="shared" si="762"/>
        <v>0.91265054871925855</v>
      </c>
      <c r="K708" s="14">
        <f t="shared" si="762"/>
        <v>0.91265054871925966</v>
      </c>
      <c r="L708" s="14">
        <f t="shared" ref="L708" si="763">L706/L707</f>
        <v>0.91265054871925866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5.9801770754977683</v>
      </c>
      <c r="G709" s="17" cm="1">
        <f t="array" ref="G709">SUMPRODUCT(("CT_CWODPLT"=[1]OUT_SyntheticFuels!$C$4:$C$1000)*1,("Var_Fout"=[1]OUT_SyntheticFuels!$B$4:$B$1000)*1,[1]OUT_SyntheticFuels!F$4:F$1000)</f>
        <v>6.9699292907550641</v>
      </c>
      <c r="H709" s="17" cm="1">
        <f t="array" ref="H709">SUMPRODUCT(("CT_CWODPLT"=[1]OUT_SyntheticFuels!$C$4:$C$1000)*1,("Var_Fout"=[1]OUT_SyntheticFuels!$B$4:$B$1000)*1,[1]OUT_SyntheticFuels!G$4:G$1000)</f>
        <v>1.9397783386415819</v>
      </c>
      <c r="I709" s="17" cm="1">
        <f t="array" ref="I709">SUMPRODUCT(("CT_CWODPLT"=[1]OUT_SyntheticFuels!$C$4:$C$1000)*1,("Var_Fout"=[1]OUT_SyntheticFuels!$B$4:$B$1000)*1,[1]OUT_SyntheticFuels!H$4:H$1000)</f>
        <v>2.276388359084228</v>
      </c>
      <c r="J709" s="17" cm="1">
        <f t="array" ref="J709">SUMPRODUCT(("CT_CWODPLT"=[2]OUT_SyntheticFuels!$C$4:$C$1000)*1,("Var_Fout"=[2]OUT_SyntheticFuels!$B$4:$B$1000)*1,[2]OUT_SyntheticFuels!I$4:I$1000)</f>
        <v>2.3461117689149273</v>
      </c>
      <c r="K709" s="17" cm="1">
        <f t="array" ref="K709">SUMPRODUCT(("CT_CWODPLT"=[2]OUT_SyntheticFuels!$C$4:$C$1000)*1,("Var_Fout"=[2]OUT_SyntheticFuels!$B$4:$B$1000)*1,[2]OUT_SyntheticFuels!J$4:J$1000)</f>
        <v>2.6296436881320515</v>
      </c>
      <c r="L709" s="17" cm="1">
        <f t="array" ref="L709">SUMPRODUCT(("CT_CWODPLT"=[2]OUT_SyntheticFuels!$C$4:$C$1000)*1,("Var_Fout"=[2]OUT_SyntheticFuels!$B$4:$B$1000)*1,[2]OUT_SyntheticFuels!K$4:K$1000)</f>
        <v>2.5666081015102766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5.9801770754977683</v>
      </c>
      <c r="G710" s="18">
        <f t="shared" ref="G710:K710" si="764">G709</f>
        <v>6.9699292907550641</v>
      </c>
      <c r="H710" s="18">
        <f t="shared" si="764"/>
        <v>1.9397783386415819</v>
      </c>
      <c r="I710" s="18">
        <f t="shared" si="764"/>
        <v>2.276388359084228</v>
      </c>
      <c r="J710" s="18">
        <f t="shared" si="764"/>
        <v>2.3461117689149273</v>
      </c>
      <c r="K710" s="18">
        <f t="shared" si="764"/>
        <v>2.6296436881320515</v>
      </c>
      <c r="L710" s="18">
        <f t="shared" ref="L710" si="765">L709</f>
        <v>2.5666081015102766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7.1192584232116349</v>
      </c>
      <c r="G711" s="17" cm="1">
        <f t="array" ref="G711">SUMPRODUCT(("CT_CWODPLT"=[1]OUT_SyntheticFuels!$C$4:$C$1000)*1,("Var_Fin"=[1]OUT_SyntheticFuels!$B$4:$B$1000)*1,[1]OUT_SyntheticFuels!F$4:F$1000)</f>
        <v>8.2975348699465012</v>
      </c>
      <c r="H711" s="17" cm="1">
        <f t="array" ref="H711">SUMPRODUCT(("CT_CWODPLT"=[1]OUT_SyntheticFuels!$C$4:$C$1000)*1,("Var_Fin"=[1]OUT_SyntheticFuels!$B$4:$B$1000)*1,[1]OUT_SyntheticFuels!G$4:G$1000)</f>
        <v>2.3092599269542635</v>
      </c>
      <c r="I711" s="17" cm="1">
        <f t="array" ref="I711">SUMPRODUCT(("CT_CWODPLT"=[1]OUT_SyntheticFuels!$C$4:$C$1000)*1,("Var_Fin"=[1]OUT_SyntheticFuels!$B$4:$B$1000)*1,[1]OUT_SyntheticFuels!H$4:H$1000)</f>
        <v>2.7099861417669389</v>
      </c>
      <c r="J711" s="17" cm="1">
        <f t="array" ref="J711">SUMPRODUCT(("CT_CWODPLT"=[2]OUT_SyntheticFuels!$C$4:$C$1000)*1,("Var_Fin"=[2]OUT_SyntheticFuels!$B$4:$B$1000)*1,[2]OUT_SyntheticFuels!I$4:I$1000)</f>
        <v>2.7929902010891996</v>
      </c>
      <c r="K711" s="17" cm="1">
        <f t="array" ref="K711">SUMPRODUCT(("CT_CWODPLT"=[2]OUT_SyntheticFuels!$C$4:$C$1000)*1,("Var_Fin"=[2]OUT_SyntheticFuels!$B$4:$B$1000)*1,[2]OUT_SyntheticFuels!J$4:J$1000)</f>
        <v>3.1305282001572037</v>
      </c>
      <c r="L711" s="17" cm="1">
        <f t="array" ref="L711">SUMPRODUCT(("CT_CWODPLT"=[2]OUT_SyntheticFuels!$C$4:$C$1000)*1,("Var_Fin"=[2]OUT_SyntheticFuels!$B$4:$B$1000)*1,[2]OUT_SyntheticFuels!K$4:K$1000)</f>
        <v>3.0554858351312779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7.1192584232116349</v>
      </c>
      <c r="G712" s="18">
        <f t="shared" si="766"/>
        <v>8.2975348699465012</v>
      </c>
      <c r="H712" s="18">
        <f t="shared" si="766"/>
        <v>2.3092599269542635</v>
      </c>
      <c r="I712" s="18">
        <f t="shared" si="766"/>
        <v>2.7099861417669389</v>
      </c>
      <c r="J712" s="18">
        <f t="shared" si="766"/>
        <v>2.7929902010891996</v>
      </c>
      <c r="K712" s="18">
        <f t="shared" si="766"/>
        <v>3.1305282001572037</v>
      </c>
      <c r="L712" s="18">
        <f t="shared" ref="L712" si="767">L711</f>
        <v>3.0554858351312779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0.8399999999999993</v>
      </c>
      <c r="G713" s="14">
        <f t="shared" si="768"/>
        <v>0.84000000000000041</v>
      </c>
      <c r="H713" s="14">
        <f t="shared" si="768"/>
        <v>0.84000000000000019</v>
      </c>
      <c r="I713" s="14">
        <f t="shared" si="768"/>
        <v>0.83999999999999975</v>
      </c>
      <c r="J713" s="14">
        <f t="shared" si="768"/>
        <v>0.83999999999999986</v>
      </c>
      <c r="K713" s="14">
        <f t="shared" si="768"/>
        <v>0.84000000000000019</v>
      </c>
      <c r="L713" s="14">
        <f t="shared" ref="L713" si="769">IFERROR(L709/L711,"-")</f>
        <v>0.84000000000000108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15.800694955656013</v>
      </c>
      <c r="L714" s="17">
        <f t="shared" ref="L714" si="771">L715+L717</f>
        <v>19.245336381732322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14.876685280524654</v>
      </c>
      <c r="L715" s="18">
        <f t="shared" si="772"/>
        <v>17.113529835408574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14.876685280524654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17.113529835408574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0.92400967513135857</v>
      </c>
      <c r="L717" s="18">
        <f t="shared" ref="L717" si="775">SUM(L718:L720)</f>
        <v>2.1318065463237472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4.8737858002998111E-3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1.3514234555646865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0.91854860035984975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0.78038309075906087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5.8728897120895933E-4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20.644529268948265</v>
      </c>
      <c r="L721" s="17">
        <f t="shared" si="777"/>
        <v>25.670238034407483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20.644529268948265</v>
      </c>
      <c r="L722" s="18">
        <f t="shared" ref="L722" si="780">SUM(L723,L725)</f>
        <v>25.670238034407483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19.320370494187852</v>
      </c>
      <c r="L723" s="18">
        <f t="shared" si="782"/>
        <v>22.225363422608556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19.320370494187852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22.225363422608556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1.3241587747604113</v>
      </c>
      <c r="L725" s="18">
        <f t="shared" ref="L725" si="784">SUM(L726:L728)</f>
        <v>3.4448746117989275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1.0661752238722282E-2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2.3300416250002667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1.3122122862283585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1.1148329867986606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1.2847362933305056E-3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0.77000000000000046</v>
      </c>
      <c r="L730" s="14">
        <f t="shared" ref="L730" si="787">IFERROR(L716/L724,"-")</f>
        <v>0.76999999999999935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0.45712803028743915</v>
      </c>
      <c r="L731" s="16">
        <f t="shared" ref="L731" si="790">IFERROR(L718/L726,"-")</f>
        <v>0.57999970518317745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0.69999999999999907</v>
      </c>
      <c r="L732" s="16">
        <f t="shared" ref="L732" si="792">IFERROR(L719/L727,"-")</f>
        <v>0.69999999999999862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0.45712803028743887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0.90734182954159848</v>
      </c>
      <c r="L734" s="17">
        <f t="shared" si="799"/>
        <v>1.1218547444603231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0.90734182954159848</v>
      </c>
      <c r="L735" s="18">
        <f t="shared" si="804"/>
        <v>1.1218547444603231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0.72673472955169627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0.18060324561738964</v>
      </c>
      <c r="L737" s="18">
        <f>IFERROR(L735-L736-L738,0)</f>
        <v>1.1218547444603231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3.854372512578743E-6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0.83904504982158989</v>
      </c>
      <c r="L739" s="18">
        <f t="shared" si="810"/>
        <v>0.96520308271704292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0.83904504982158989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0.96520308271704292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6.8296779720008555E-2</v>
      </c>
      <c r="L741" s="18">
        <f t="shared" si="817"/>
        <v>0.15665166174328027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4.5327373467703912E-4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9.9059389645261509E-2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6.7788886706556861E-2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5.7592272098018753E-2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5.4619278774653156E-5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0.67203247718871661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0.67203247718871661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5.470225236297966E-2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3.6304924369002991E-4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5.4295455850623904E-2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4.3747268665724447E-5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0.16700900838390831</v>
      </c>
      <c r="L751" s="18">
        <f t="shared" ref="L751" si="833">IFERROR(L$737/L$735,0)*L739</f>
        <v>0.96520308271704292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0.16700900838390831</v>
      </c>
      <c r="L752" s="18">
        <f t="shared" ref="L752" si="835">IFERROR(L$737/L$735,0)*L740</f>
        <v>0.96520308271704292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1.3594237233481321E-2</v>
      </c>
      <c r="L753" s="18">
        <f t="shared" ref="L753" si="839">IFERROR(L$737/L$735,0)*L741</f>
        <v>0.15665166174328027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9.0222565487967153E-5</v>
      </c>
      <c r="L754" s="18">
        <f t="shared" ref="L754" si="841">IFERROR(L$737/L$735,0)*L742</f>
        <v>9.9059389645261509E-2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1.3493142889906183E-2</v>
      </c>
      <c r="L755" s="18">
        <f t="shared" ref="L755" si="843">IFERROR(L$737/L$735,0)*L743</f>
        <v>5.7592272098018753E-2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1.08717780871703E-5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3.56424896500303E-6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3.56424896500303E-6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2.901235475757129E-7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1.9254990420707721E-9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2.8796602677523572E-7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2.3202175840637459E-10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142.22068285386743</v>
      </c>
      <c r="G763" s="17">
        <f t="shared" si="862"/>
        <v>142.43487060158498</v>
      </c>
      <c r="H763" s="17">
        <f t="shared" si="862"/>
        <v>147.51305415580941</v>
      </c>
      <c r="I763" s="17">
        <f t="shared" si="862"/>
        <v>148.41977227486933</v>
      </c>
      <c r="J763" s="17">
        <f t="shared" si="862"/>
        <v>149.88995138253165</v>
      </c>
      <c r="K763" s="17">
        <f t="shared" si="862"/>
        <v>134.68046122888509</v>
      </c>
      <c r="L763" s="17">
        <f t="shared" ref="L763" si="863">L764+L768+L778+L789+L791+L803+L805+L807+L811+L813+L815</f>
        <v>137.91884404998484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60.070598110756912</v>
      </c>
      <c r="G764" s="18">
        <f>[1]Industry!C$11</f>
        <v>61.543511991580971</v>
      </c>
      <c r="H764" s="18">
        <f>[1]Industry!D$11</f>
        <v>64.989528642358223</v>
      </c>
      <c r="I764" s="18">
        <f>[1]Industry!E$11</f>
        <v>70.551150173109392</v>
      </c>
      <c r="J764" s="18">
        <f>[2]Industry!F$11</f>
        <v>73.893484237318177</v>
      </c>
      <c r="K764" s="18">
        <f>[2]Industry!G$11</f>
        <v>71.032892098388288</v>
      </c>
      <c r="L764" s="18">
        <f>[2]Industry!H$11</f>
        <v>74.955618176397337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11.647261143137953</v>
      </c>
      <c r="G765" s="1">
        <f t="shared" si="865"/>
        <v>12.259033789444956</v>
      </c>
      <c r="H765" s="1">
        <f t="shared" si="865"/>
        <v>12.559846957037372</v>
      </c>
      <c r="I765" s="1">
        <f t="shared" si="865"/>
        <v>15.762662326249718</v>
      </c>
      <c r="J765" s="1">
        <f t="shared" si="865"/>
        <v>17.045481561282664</v>
      </c>
      <c r="K765" s="1">
        <f>K764-K766-K767</f>
        <v>17.022995759881525</v>
      </c>
      <c r="L765" s="1">
        <f>L764-L766-L767</f>
        <v>16.978205162196168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0.35993931544795071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0.45111663226873028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0.8233330057928927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1.910132472519898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2.5525237924967601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2.9550935138615912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3.7471644212437751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48.833361569867286</v>
      </c>
      <c r="H767" s="1">
        <f>[1]Industry!D$11-[1]Industry!D$33</f>
        <v>51.606348679527962</v>
      </c>
      <c r="I767" s="1">
        <f>[1]Industry!E$11-[1]Industry!E$33</f>
        <v>52.878355374339769</v>
      </c>
      <c r="J767" s="1">
        <f>[2]Industry!F$11-[2]Industry!F$33</f>
        <v>54.295478883538756</v>
      </c>
      <c r="K767" s="1">
        <f>[2]Industry!G$11-[2]Industry!G$33</f>
        <v>51.054802824645179</v>
      </c>
      <c r="L767" s="1">
        <f>[2]Industry!H$11-[2]Industry!H$33</f>
        <v>54.230248592957388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11.628220477877354</v>
      </c>
      <c r="G768" s="1">
        <f t="shared" ref="G768:K768" si="866">SUM(G771,G776)</f>
        <v>10.840080342452087</v>
      </c>
      <c r="H768" s="1">
        <f t="shared" si="866"/>
        <v>8.3047920658197221</v>
      </c>
      <c r="I768" s="1">
        <f t="shared" si="866"/>
        <v>6.689248785068922</v>
      </c>
      <c r="J768" s="1">
        <f t="shared" si="866"/>
        <v>5.8194714729772716</v>
      </c>
      <c r="K768" s="1">
        <f t="shared" si="866"/>
        <v>3.0980601039618021</v>
      </c>
      <c r="L768" s="1">
        <f t="shared" ref="L768" si="867">SUM(L771,L776)</f>
        <v>0.23592999833470277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8.8980668457453493</v>
      </c>
      <c r="G769" s="1">
        <f t="shared" ref="G769:K769" si="868">SUM(G773,G777)</f>
        <v>8.1218811327210911</v>
      </c>
      <c r="H769" s="1">
        <f t="shared" si="868"/>
        <v>8.257322088845136</v>
      </c>
      <c r="I769" s="1">
        <f t="shared" si="868"/>
        <v>6.6847043840037541</v>
      </c>
      <c r="J769" s="1">
        <f t="shared" si="868"/>
        <v>5.8101310527872414</v>
      </c>
      <c r="K769" s="1">
        <f t="shared" si="868"/>
        <v>3.0974321926110306</v>
      </c>
      <c r="L769" s="1">
        <f t="shared" ref="L769" si="869">SUM(L773,L777)</f>
        <v>0.23592999833470277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2.7301536321320046</v>
      </c>
      <c r="G770" s="1">
        <f t="shared" ref="G770:K770" si="870">G775</f>
        <v>2.7181992097309959</v>
      </c>
      <c r="H770" s="1">
        <f t="shared" si="870"/>
        <v>4.7469976974586547E-2</v>
      </c>
      <c r="I770" s="1">
        <f t="shared" si="870"/>
        <v>4.5444010651676508E-3</v>
      </c>
      <c r="J770" s="1">
        <f t="shared" si="870"/>
        <v>9.3404201900299001E-3</v>
      </c>
      <c r="K770" s="1">
        <f t="shared" si="870"/>
        <v>6.2791135077136105E-4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11.628220477877354</v>
      </c>
      <c r="G771" s="1">
        <f t="shared" ref="G771:K771" si="872">SUM(G772,G774)</f>
        <v>10.840080342452087</v>
      </c>
      <c r="H771" s="1">
        <f t="shared" si="872"/>
        <v>8.303833561071329</v>
      </c>
      <c r="I771" s="1">
        <f t="shared" si="872"/>
        <v>6.4735878261003075</v>
      </c>
      <c r="J771" s="1">
        <f t="shared" si="872"/>
        <v>5.6064017859086137</v>
      </c>
      <c r="K771" s="1">
        <f t="shared" si="872"/>
        <v>2.8621272932819837</v>
      </c>
      <c r="L771" s="1">
        <f t="shared" ref="L771" si="873">SUM(L772,L774)</f>
        <v>8.661942716570965E-6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8.8980668457453493</v>
      </c>
      <c r="G772" s="1">
        <f>[1]Industry!C$34</f>
        <v>8.1218811327210911</v>
      </c>
      <c r="H772" s="1">
        <f>[1]Industry!D$34</f>
        <v>8.2563635840967429</v>
      </c>
      <c r="I772" s="1">
        <f>[1]Industry!E$34</f>
        <v>6.4690434250351396</v>
      </c>
      <c r="J772" s="1">
        <f>[2]Industry!F$34</f>
        <v>5.5970613657185835</v>
      </c>
      <c r="K772" s="1">
        <f>[2]Industry!G$34</f>
        <v>2.8614993819312122</v>
      </c>
      <c r="L772" s="1">
        <f>[2]Industry!H$34</f>
        <v>8.661942716570965E-6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8.8980668457453493</v>
      </c>
      <c r="G773" s="1">
        <f t="shared" ref="G773:K773" si="874">G772</f>
        <v>8.1218811327210911</v>
      </c>
      <c r="H773" s="1">
        <f t="shared" si="874"/>
        <v>8.2563635840967429</v>
      </c>
      <c r="I773" s="1">
        <f t="shared" si="874"/>
        <v>6.4690434250351396</v>
      </c>
      <c r="J773" s="1">
        <f t="shared" si="874"/>
        <v>5.5970613657185835</v>
      </c>
      <c r="K773" s="1">
        <f t="shared" si="874"/>
        <v>2.8614993819312122</v>
      </c>
      <c r="L773" s="1">
        <f t="shared" ref="L773" si="875">L772</f>
        <v>8.661942716570965E-6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2.7301536321320046</v>
      </c>
      <c r="G774" s="1">
        <f>[1]Industry!C$35</f>
        <v>2.7181992097309959</v>
      </c>
      <c r="H774" s="1">
        <f>[1]Industry!D$35</f>
        <v>4.7469976974586547E-2</v>
      </c>
      <c r="I774" s="1">
        <f>[1]Industry!E$35</f>
        <v>4.5444010651676508E-3</v>
      </c>
      <c r="J774" s="1">
        <f>[2]Industry!F$35</f>
        <v>9.3404201900299001E-3</v>
      </c>
      <c r="K774" s="1">
        <f>[2]Industry!G$35</f>
        <v>6.2791135077136105E-4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2.7301536321320046</v>
      </c>
      <c r="G775" s="1">
        <f t="shared" ref="G775:K775" si="876">G774</f>
        <v>2.7181992097309959</v>
      </c>
      <c r="H775" s="1">
        <f t="shared" si="876"/>
        <v>4.7469976974586547E-2</v>
      </c>
      <c r="I775" s="1">
        <f t="shared" si="876"/>
        <v>4.5444010651676508E-3</v>
      </c>
      <c r="J775" s="1">
        <f t="shared" si="876"/>
        <v>9.3404201900299001E-3</v>
      </c>
      <c r="K775" s="1">
        <f t="shared" si="876"/>
        <v>6.2791135077136105E-4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9.5850474839326251E-4</v>
      </c>
      <c r="I776" s="1">
        <f>[1]Industry!E$36</f>
        <v>0.2156609589686147</v>
      </c>
      <c r="J776" s="1">
        <f>[2]Industry!F$36</f>
        <v>0.21306968706865759</v>
      </c>
      <c r="K776" s="1">
        <f>[2]Industry!G$36</f>
        <v>0.23593281067981831</v>
      </c>
      <c r="L776" s="1">
        <f>[2]Industry!H$36</f>
        <v>0.2359213363919862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9.5850474839326251E-4</v>
      </c>
      <c r="I777" s="1">
        <f t="shared" si="878"/>
        <v>0.2156609589686147</v>
      </c>
      <c r="J777" s="1">
        <f t="shared" si="878"/>
        <v>0.21306968706865759</v>
      </c>
      <c r="K777" s="1">
        <f t="shared" si="878"/>
        <v>0.23593281067981831</v>
      </c>
      <c r="L777" s="1">
        <f t="shared" ref="L777" si="879">L776</f>
        <v>0.2359213363919862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35.989351864259419</v>
      </c>
      <c r="G778" s="1">
        <f>SUM([1]Industry!C$37:C$39)</f>
        <v>32.483852740047823</v>
      </c>
      <c r="H778" s="1">
        <f>SUM([1]Industry!D$37:D$39)</f>
        <v>36.473765366656281</v>
      </c>
      <c r="I778" s="1">
        <f>SUM([1]Industry!E$37:E$39)</f>
        <v>26.088671323493799</v>
      </c>
      <c r="J778" s="1">
        <f>SUM([2]Industry!F$37:F$39)</f>
        <v>13.439324128202124</v>
      </c>
      <c r="K778" s="1">
        <f>SUM([2]Industry!G$37:G$39)</f>
        <v>8.1664186409354418</v>
      </c>
      <c r="L778" s="1">
        <f>SUM([2]Industry!H$37:H$39)</f>
        <v>4.9807891853228128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35.523451979456425</v>
      </c>
      <c r="G779" s="1">
        <f>SUM([1]Industry!C$37:C$38)-G780</f>
        <v>31.916167076306184</v>
      </c>
      <c r="H779" s="1">
        <f>SUM([1]Industry!D$37:D$38)-H780</f>
        <v>34.860140051992964</v>
      </c>
      <c r="I779" s="1">
        <f>SUM([1]Industry!E$37:E$38)-I780</f>
        <v>22.941073624026416</v>
      </c>
      <c r="J779" s="1">
        <f>SUM([2]Industry!F$37:F$38)-J780</f>
        <v>10.206313115519766</v>
      </c>
      <c r="K779" s="1">
        <f>SUM([2]Industry!G$37:G$38)-K780</f>
        <v>4.9334033792184115</v>
      </c>
      <c r="L779" s="1">
        <f>SUM([2]Industry!H$37:H$38)-L780</f>
        <v>1.0795515228323787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2.9028968769227743E-2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1.5547552931601278E-2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9.3371982356823587E-3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0.46589988480299382</v>
      </c>
      <c r="G781" s="1">
        <f t="shared" si="884"/>
        <v>0.56768566374163854</v>
      </c>
      <c r="H781" s="1">
        <f t="shared" si="884"/>
        <v>1.6136253146633166</v>
      </c>
      <c r="I781" s="1">
        <f t="shared" si="884"/>
        <v>3.1475976994673829</v>
      </c>
      <c r="J781" s="1">
        <f t="shared" si="884"/>
        <v>3.2330110126823577</v>
      </c>
      <c r="K781" s="1">
        <f t="shared" si="884"/>
        <v>3.2330152617170302</v>
      </c>
      <c r="L781" s="1">
        <f t="shared" ref="L781" si="885">L778-L779</f>
        <v>3.9012376624904341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35.25330344369997</v>
      </c>
      <c r="G782" s="1">
        <f>[1]Industry!C$37</f>
        <v>31.928365904344549</v>
      </c>
      <c r="H782" s="1">
        <f>[1]Industry!D$37</f>
        <v>32.590128059217399</v>
      </c>
      <c r="I782" s="1">
        <f>[1]Industry!E$37</f>
        <v>20.588419595815022</v>
      </c>
      <c r="J782" s="1">
        <f>[2]Industry!F$37</f>
        <v>8.249972584382304</v>
      </c>
      <c r="K782" s="1">
        <f>[2]Industry!G$37</f>
        <v>2.8992444326385161</v>
      </c>
      <c r="L782" s="1">
        <f>[2]Industry!H$37</f>
        <v>0.40974548921470605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35.224518756460576</v>
      </c>
      <c r="G783" s="1">
        <f>[1]Industry!C$37*G779/SUM(G779:G780)</f>
        <v>31.912819981907212</v>
      </c>
      <c r="H783" s="1">
        <f>[1]Industry!D$37*H779/SUM(H779:H780)</f>
        <v>32.581401215277886</v>
      </c>
      <c r="I783" s="1">
        <f>[1]Industry!E$37*I779/SUM(I779:I780)</f>
        <v>20.588419595815022</v>
      </c>
      <c r="J783" s="1">
        <f>[2]Industry!F$37*J779/SUM(J779:J780)</f>
        <v>8.249972584382304</v>
      </c>
      <c r="K783" s="1">
        <f>[2]Industry!G$37*K779/SUM(K779:K780)</f>
        <v>2.8992444326385161</v>
      </c>
      <c r="L783" s="1">
        <f>[2]Industry!H$37*L779/SUM(L779:L780)</f>
        <v>0.40974548921470605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2.8784687239394202E-2</v>
      </c>
      <c r="G784" s="1">
        <f t="shared" ref="G784:K784" si="890">G782-G783</f>
        <v>1.5545922437336657E-2</v>
      </c>
      <c r="H784" s="1">
        <f t="shared" si="890"/>
        <v>8.7268439395131736E-3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0.73604842055944864</v>
      </c>
      <c r="G785" s="1">
        <f t="shared" ref="G785:K785" si="892">SUM(G786:G788)</f>
        <v>0.55548683570327295</v>
      </c>
      <c r="H785" s="1">
        <f t="shared" si="892"/>
        <v>3.883637307438879</v>
      </c>
      <c r="I785" s="1">
        <f t="shared" si="892"/>
        <v>5.5002517276787781</v>
      </c>
      <c r="J785" s="1">
        <f t="shared" si="892"/>
        <v>5.1893515438198197</v>
      </c>
      <c r="K785" s="1">
        <f t="shared" si="892"/>
        <v>5.2671742082969253</v>
      </c>
      <c r="L785" s="1">
        <f t="shared" ref="L785" si="893">SUM(L786:L788)</f>
        <v>4.5710436961081067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0.29893322299585012</v>
      </c>
      <c r="G786" s="1">
        <f>[1]Industry!C$38*G779/SUM(G779:G780)</f>
        <v>3.3470943989722278E-3</v>
      </c>
      <c r="H786" s="1">
        <f>[1]Industry!D$38*H779/SUM(H779:H780)</f>
        <v>2.2787388367150787</v>
      </c>
      <c r="I786" s="1">
        <f>[1]Industry!E$38*I779/SUM(I779:I780)</f>
        <v>2.3526540282113944</v>
      </c>
      <c r="J786" s="1">
        <f>[2]Industry!F$38*J779/SUM(J779:J780)</f>
        <v>1.9563405311374624</v>
      </c>
      <c r="K786" s="1">
        <f>[2]Industry!G$38*K779/SUM(K779:K780)</f>
        <v>2.034158946579895</v>
      </c>
      <c r="L786" s="1">
        <f>[2]Industry!H$38*L779/SUM(L779:L780)</f>
        <v>0.66980603361767255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2.442815298313028E-4</v>
      </c>
      <c r="G787" s="1">
        <f>[1]Industry!C$38-G786</f>
        <v>1.6304942636333544E-6</v>
      </c>
      <c r="H787" s="1">
        <f>[1]Industry!D$38-H786</f>
        <v>6.1035429616795867E-4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0.43687091603376721</v>
      </c>
      <c r="G788" s="1">
        <f>[1]Industry!C$39</f>
        <v>0.55213811081003705</v>
      </c>
      <c r="H788" s="1">
        <f>[1]Industry!D$39</f>
        <v>1.6042881164276321</v>
      </c>
      <c r="I788" s="1">
        <f>[1]Industry!E$39</f>
        <v>3.1475976994673842</v>
      </c>
      <c r="J788" s="1">
        <f>[2]Industry!F$39</f>
        <v>3.2330110126823568</v>
      </c>
      <c r="K788" s="1">
        <f>[2]Industry!G$39</f>
        <v>3.2330152617170298</v>
      </c>
      <c r="L788" s="1">
        <f>[2]Industry!H$39</f>
        <v>3.9012376624904341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3.5601573608479287</v>
      </c>
      <c r="G789" s="1">
        <f>[1]Industry!C$18</f>
        <v>3.4647541095190793</v>
      </c>
      <c r="H789" s="1">
        <f>[1]Industry!D$18</f>
        <v>0.12899021100237884</v>
      </c>
      <c r="I789" s="1">
        <f>[1]Industry!E$18</f>
        <v>4.382933590500058E-3</v>
      </c>
      <c r="J789" s="1">
        <f>[2]Industry!F$18</f>
        <v>6.1393082000861937E-3</v>
      </c>
      <c r="K789" s="1">
        <f>[2]Industry!G$18</f>
        <v>6.3677787950264936E-4</v>
      </c>
      <c r="L789" s="1">
        <f>[2]Industry!H$18</f>
        <v>4.2134060454579094E-6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3.5601573608479287</v>
      </c>
      <c r="G790" s="1">
        <f t="shared" ref="G790:K790" si="896">G789</f>
        <v>3.4647541095190793</v>
      </c>
      <c r="H790" s="1">
        <f t="shared" si="896"/>
        <v>0.12899021100237884</v>
      </c>
      <c r="I790" s="1">
        <f t="shared" si="896"/>
        <v>4.382933590500058E-3</v>
      </c>
      <c r="J790" s="1">
        <f t="shared" si="896"/>
        <v>6.1393082000861937E-3</v>
      </c>
      <c r="K790" s="1">
        <f t="shared" si="896"/>
        <v>6.3677787950264936E-4</v>
      </c>
      <c r="L790" s="1">
        <f t="shared" ref="L790" si="897">L789</f>
        <v>4.2134060454579094E-6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12.729060467056971</v>
      </c>
      <c r="G791" s="1">
        <f>[1]Industry!C$19</f>
        <v>13.638637605412946</v>
      </c>
      <c r="H791" s="1">
        <f>[1]Industry!D$19</f>
        <v>13.954675063299224</v>
      </c>
      <c r="I791" s="1">
        <f>[1]Industry!E$19</f>
        <v>14.452189675714195</v>
      </c>
      <c r="J791" s="1">
        <f>[2]Industry!F$19</f>
        <v>15.339552118147797</v>
      </c>
      <c r="K791" s="1">
        <f>[2]Industry!G$19</f>
        <v>14.816594566133903</v>
      </c>
      <c r="L791" s="1">
        <f>[2]Industry!H$19</f>
        <v>18.515793465850589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4.4312650819680517</v>
      </c>
      <c r="G792" s="1">
        <f t="shared" ref="G792:K792" si="900">SUM(G793:G801)</f>
        <v>5.6289556451317022</v>
      </c>
      <c r="H792" s="1">
        <f t="shared" si="900"/>
        <v>5.6601880849007369</v>
      </c>
      <c r="I792" s="1">
        <f t="shared" si="900"/>
        <v>6.7799566358423231</v>
      </c>
      <c r="J792" s="1">
        <f t="shared" si="900"/>
        <v>7.7462974747168039</v>
      </c>
      <c r="K792" s="1">
        <f t="shared" si="900"/>
        <v>7.24256713708977</v>
      </c>
      <c r="L792" s="1">
        <f t="shared" ref="L792" si="901">SUM(L793:L801)</f>
        <v>9.2396234339062175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0.9300285020017458</v>
      </c>
      <c r="G793" s="1">
        <f t="shared" ref="G793:K793" si="904">G235</f>
        <v>2.0129949751913112</v>
      </c>
      <c r="H793" s="1">
        <f t="shared" si="904"/>
        <v>1.3104198277838217</v>
      </c>
      <c r="I793" s="1">
        <f t="shared" si="904"/>
        <v>1.2420320861859517</v>
      </c>
      <c r="J793" s="1">
        <f t="shared" si="904"/>
        <v>0.8123314826623691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0.90562911982897554</v>
      </c>
      <c r="G794" s="1">
        <f t="shared" ref="G794:K794" si="906">G241</f>
        <v>0.24638617604288288</v>
      </c>
      <c r="H794" s="1">
        <f t="shared" si="906"/>
        <v>0.53893559510488798</v>
      </c>
      <c r="I794" s="1">
        <f t="shared" si="906"/>
        <v>5.9199724522254069E-2</v>
      </c>
      <c r="J794" s="1">
        <f t="shared" si="906"/>
        <v>1.0828025594118897</v>
      </c>
      <c r="K794" s="1">
        <f t="shared" si="906"/>
        <v>0.15922219594705103</v>
      </c>
      <c r="L794" s="1">
        <f t="shared" ref="L794" si="907">L241</f>
        <v>0.46854969263808594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9.1445750984012947E-2</v>
      </c>
      <c r="L795" s="1">
        <f t="shared" ref="L795" si="909">L242</f>
        <v>0.27093232580899412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0</v>
      </c>
      <c r="J796" s="1">
        <f t="shared" si="910"/>
        <v>2.1992240234273647E-3</v>
      </c>
      <c r="K796" s="1">
        <f t="shared" si="910"/>
        <v>2.2123640459019078E-3</v>
      </c>
      <c r="L796" s="1">
        <f t="shared" ref="L796" si="911">L243</f>
        <v>3.9798121713057025E-4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1.9356600170775753</v>
      </c>
      <c r="G797" s="1">
        <f t="shared" ref="G797:K797" si="912">G274</f>
        <v>1.9671878820404487</v>
      </c>
      <c r="H797" s="1">
        <f t="shared" si="912"/>
        <v>9.6382372040252254E-2</v>
      </c>
      <c r="I797" s="1">
        <f t="shared" si="912"/>
        <v>9.748796287784349E-2</v>
      </c>
      <c r="J797" s="1">
        <f t="shared" si="912"/>
        <v>1.5995176633888886E-2</v>
      </c>
      <c r="K797" s="1">
        <f t="shared" si="912"/>
        <v>7.1235888172253015E-3</v>
      </c>
      <c r="L797" s="1">
        <f t="shared" ref="L797" si="913">L274</f>
        <v>9.2749139744685571E-4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0.91070737282955172</v>
      </c>
      <c r="L798" s="1">
        <f t="shared" ref="L798" si="915">L275</f>
        <v>1.0895622362614634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0.65994744305975483</v>
      </c>
      <c r="G799" s="1">
        <f t="shared" ref="G799:K799" si="916">G283</f>
        <v>1.4023866118570587</v>
      </c>
      <c r="H799" s="1">
        <f t="shared" si="916"/>
        <v>3.7144502899717744</v>
      </c>
      <c r="I799" s="1">
        <f t="shared" si="916"/>
        <v>5.3812368622562738</v>
      </c>
      <c r="J799" s="1">
        <f t="shared" si="916"/>
        <v>5.8234746912065454</v>
      </c>
      <c r="K799" s="1">
        <f t="shared" si="916"/>
        <v>5.3889078080481614</v>
      </c>
      <c r="L799" s="1">
        <f t="shared" ref="L799" si="917">L283</f>
        <v>4.8212940580368802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0.5907595886527599</v>
      </c>
      <c r="L800" s="1">
        <f t="shared" ref="L800" si="919">L284</f>
        <v>2.4818360869726375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0</v>
      </c>
      <c r="J801" s="1">
        <f t="shared" si="920"/>
        <v>9.4943407786836492E-3</v>
      </c>
      <c r="K801" s="1">
        <f t="shared" si="920"/>
        <v>9.2188467765105975E-2</v>
      </c>
      <c r="L801" s="1">
        <f t="shared" ref="L801" si="921">L289</f>
        <v>0.10612356157357962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7.1202094790041857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7.6289546232497099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7.6289456009858734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7.6290252733156585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7.6289208385150111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7.6287985882044964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8.528649275309153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9.0021252205715907</v>
      </c>
      <c r="G803" s="1">
        <f t="shared" ref="G803:L803" si="922">G804</f>
        <v>10.610037471752165</v>
      </c>
      <c r="H803" s="1">
        <f t="shared" si="922"/>
        <v>10.146045449928391</v>
      </c>
      <c r="I803" s="1">
        <f t="shared" si="922"/>
        <v>11.818061845900582</v>
      </c>
      <c r="J803" s="1">
        <f t="shared" si="922"/>
        <v>12.965645916762423</v>
      </c>
      <c r="K803" s="1">
        <f t="shared" si="922"/>
        <v>9.9687294822174835</v>
      </c>
      <c r="L803" s="1">
        <f t="shared" si="922"/>
        <v>12.218197011685245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9.0021252205715907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10.610037471752165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10.146045449928391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11.818061845900582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12.965645916762423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9.9687294822174835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12.218197011685245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0.62589701661237407</v>
      </c>
      <c r="G805" s="1">
        <f t="shared" ref="G805:L805" si="924">G806</f>
        <v>0.73762225764574341</v>
      </c>
      <c r="H805" s="1">
        <f t="shared" si="924"/>
        <v>0.77787246306873914</v>
      </c>
      <c r="I805" s="1">
        <f t="shared" si="924"/>
        <v>0.80006448650634476</v>
      </c>
      <c r="J805" s="1">
        <f t="shared" si="924"/>
        <v>0.73445859728159224</v>
      </c>
      <c r="K805" s="1">
        <f t="shared" si="924"/>
        <v>0.73241398124465429</v>
      </c>
      <c r="L805" s="1">
        <f t="shared" si="924"/>
        <v>0.72836896476980884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0.62589701661237407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0.73762225764574341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0.77787246306873914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0.80006448650634476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0.73445859728159224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0.73241398124465429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0.72836896476980884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7.7981381713718525</v>
      </c>
      <c r="G807" s="1">
        <f>[1]Industry!C$21</f>
        <v>8.0809293328523033</v>
      </c>
      <c r="H807" s="1">
        <f>[1]Industry!D$21</f>
        <v>10.837298799724925</v>
      </c>
      <c r="I807" s="1">
        <f>[1]Industry!E$21</f>
        <v>11.462586022714868</v>
      </c>
      <c r="J807" s="1">
        <f>[2]Industry!F$21</f>
        <v>10.75124450574925</v>
      </c>
      <c r="K807" s="1">
        <f>[2]Industry!G$21</f>
        <v>8.3247911362206093</v>
      </c>
      <c r="L807" s="1">
        <f>[2]Industry!H$21</f>
        <v>5.9487238321404599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7.7981381713718525</v>
      </c>
      <c r="G808" s="1">
        <f t="shared" ref="G808:K808" si="926">G807</f>
        <v>8.0809293328523033</v>
      </c>
      <c r="H808" s="1">
        <f t="shared" si="926"/>
        <v>10.837298799724925</v>
      </c>
      <c r="I808" s="1">
        <f t="shared" si="926"/>
        <v>11.462586022714868</v>
      </c>
      <c r="J808" s="1">
        <f t="shared" si="926"/>
        <v>10.75124450574925</v>
      </c>
      <c r="K808" s="1">
        <f t="shared" si="926"/>
        <v>8.3247911362206093</v>
      </c>
      <c r="L808" s="1">
        <f t="shared" ref="L808" si="927">L807</f>
        <v>5.9487238321404599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7.7981381713718525</v>
      </c>
      <c r="G810" s="1">
        <f t="shared" ref="G810:K810" si="928">G808</f>
        <v>8.0809293328523033</v>
      </c>
      <c r="H810" s="1">
        <f t="shared" si="928"/>
        <v>10.837298799724925</v>
      </c>
      <c r="I810" s="1">
        <f t="shared" si="928"/>
        <v>11.462586022714868</v>
      </c>
      <c r="J810" s="1">
        <f t="shared" si="928"/>
        <v>10.75124450574925</v>
      </c>
      <c r="K810" s="1">
        <f t="shared" si="928"/>
        <v>8.3247911362206093</v>
      </c>
      <c r="L810" s="1">
        <f t="shared" ref="L810" si="929">L808</f>
        <v>5.9487238321404599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6.8107582252723106E-2</v>
      </c>
      <c r="G811" s="1">
        <f>[1]Industry!C$22</f>
        <v>8.5601774398449418E-2</v>
      </c>
      <c r="H811" s="1">
        <f>[1]Industry!D$22</f>
        <v>0.10204303950376965</v>
      </c>
      <c r="I811" s="1">
        <f>[1]Industry!E$22</f>
        <v>2.3313497198267528</v>
      </c>
      <c r="J811" s="1">
        <f>[2]Industry!F$22</f>
        <v>1.1055182339051275</v>
      </c>
      <c r="K811" s="1">
        <f>[2]Industry!G$22</f>
        <v>1.0625543929346366</v>
      </c>
      <c r="L811" s="1">
        <f>[2]Industry!H$22</f>
        <v>0.72022861456633624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6.8107582252723106E-2</v>
      </c>
      <c r="G812" s="1">
        <f t="shared" ref="G812:K812" si="932">G811</f>
        <v>8.5601774398449418E-2</v>
      </c>
      <c r="H812" s="1">
        <f t="shared" si="932"/>
        <v>0.10204303950376965</v>
      </c>
      <c r="I812" s="1">
        <f t="shared" si="932"/>
        <v>2.3313497198267528</v>
      </c>
      <c r="J812" s="1">
        <f t="shared" si="932"/>
        <v>1.1055182339051275</v>
      </c>
      <c r="K812" s="1">
        <f t="shared" si="932"/>
        <v>1.0625543929346366</v>
      </c>
      <c r="L812" s="1">
        <f t="shared" ref="L812" si="933">L811</f>
        <v>0.72022861456633624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10.049692279852634</v>
      </c>
      <c r="K813" s="1">
        <f>[2]Industry!G$23</f>
        <v>10.600254243133543</v>
      </c>
      <c r="L813" s="1">
        <f>[2]Industry!H$23</f>
        <v>10.435844940591124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</v>
      </c>
      <c r="J814" s="1">
        <f t="shared" si="936"/>
        <v>10.049692279852634</v>
      </c>
      <c r="K814" s="1">
        <f t="shared" si="936"/>
        <v>10.600254243133543</v>
      </c>
      <c r="L814" s="1">
        <f t="shared" ref="L814" si="937">L813</f>
        <v>10.435844940591124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0.74902658226029528</v>
      </c>
      <c r="G815" s="1">
        <f>[1]Industry!C$24</f>
        <v>0.94984297592340505</v>
      </c>
      <c r="H815" s="1">
        <f>[1]Industry!D$24</f>
        <v>1.7980430544477612</v>
      </c>
      <c r="I815" s="1">
        <f>[1]Industry!E$24</f>
        <v>4.2220673089439389</v>
      </c>
      <c r="J815" s="1">
        <f>[2]Industry!F$24</f>
        <v>5.7854205841351822</v>
      </c>
      <c r="K815" s="1">
        <f>[2]Industry!G$24</f>
        <v>6.877115805835226</v>
      </c>
      <c r="L815" s="1">
        <f>[2]Industry!H$24</f>
        <v>9.1793456469203463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0.74902658226029528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0.94984297592340505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1.7638867475349058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4.2094862553583221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5.7818745281407136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6.8751820753679294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9.1780782405803834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3.4156306912855428E-2</v>
      </c>
      <c r="I817" s="1">
        <f t="shared" si="942"/>
        <v>1.2581053585616786E-2</v>
      </c>
      <c r="J817" s="1">
        <f t="shared" si="942"/>
        <v>3.5460559944686665E-3</v>
      </c>
      <c r="K817" s="1">
        <f t="shared" si="942"/>
        <v>1.9337304672966127E-3</v>
      </c>
      <c r="L817" s="1">
        <f t="shared" ref="L817" si="943">L815-L816</f>
        <v>1.2674063399629176E-3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72.711040163491731</v>
      </c>
      <c r="G818" s="17">
        <f>[1]Industry!C$71</f>
        <v>73.85575762499596</v>
      </c>
      <c r="H818" s="17">
        <f>[1]Industry!D$71</f>
        <v>76.156614129257775</v>
      </c>
      <c r="I818" s="17">
        <f>[1]Industry!E$71</f>
        <v>76.758643371393063</v>
      </c>
      <c r="J818" s="17">
        <f>[2]Industry!F$71</f>
        <v>77.298686371336373</v>
      </c>
      <c r="K818" s="17">
        <f>[2]Industry!G$71</f>
        <v>78.104970268969225</v>
      </c>
      <c r="L818" s="17">
        <f>[2]Industry!H$71</f>
        <v>79.01216253324786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58.986525499493077</v>
      </c>
      <c r="G819" s="18">
        <f t="shared" ref="G819:K819" si="944">SUM(G820:G822)</f>
        <v>60.569405375385998</v>
      </c>
      <c r="H819" s="18">
        <f t="shared" si="944"/>
        <v>64.790677602724259</v>
      </c>
      <c r="I819" s="18">
        <f t="shared" si="944"/>
        <v>72.315351102133221</v>
      </c>
      <c r="J819" s="18">
        <f t="shared" si="944"/>
        <v>77.049954699452044</v>
      </c>
      <c r="K819" s="18">
        <f t="shared" si="944"/>
        <v>75.304815035953013</v>
      </c>
      <c r="L819" s="18">
        <f t="shared" ref="L819" si="945">SUM(L820:L822)</f>
        <v>79.599591285924831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9.8141619496138333</v>
      </c>
      <c r="G820" s="1">
        <f>[1]Industry!C$55</f>
        <v>10.335130020858854</v>
      </c>
      <c r="H820" s="1">
        <f>[1]Industry!D$55</f>
        <v>10.597154447882525</v>
      </c>
      <c r="I820" s="1">
        <f>[1]Industry!E$55</f>
        <v>13.317086969426741</v>
      </c>
      <c r="J820" s="1">
        <f>[2]Industry!F$55</f>
        <v>14.419922525463774</v>
      </c>
      <c r="K820" s="1">
        <f>[2]Industry!G$55</f>
        <v>14.419920731896372</v>
      </c>
      <c r="L820" s="1">
        <f>[2]Industry!H$55</f>
        <v>14.419920130310864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1.1089658977082459</v>
      </c>
      <c r="G821" s="1">
        <f>[1]Industry!C$56</f>
        <v>1.4009596081921354</v>
      </c>
      <c r="H821" s="1">
        <f>[1]Industry!D$56</f>
        <v>2.5872197533277985</v>
      </c>
      <c r="I821" s="1">
        <f>[1]Industry!E$56</f>
        <v>6.1196187278782199</v>
      </c>
      <c r="J821" s="1">
        <f>[2]Industry!F$56</f>
        <v>8.3343983206374741</v>
      </c>
      <c r="K821" s="1">
        <f>[2]Industry!G$56</f>
        <v>9.8302755892295206</v>
      </c>
      <c r="L821" s="1">
        <f>[2]Industry!H$56</f>
        <v>12.925242661824159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48.83331574633501</v>
      </c>
      <c r="H822" s="1">
        <f>[1]Industry!D$3-([1]Industry!D$6-[1]Industry!D$70)</f>
        <v>51.606303401513934</v>
      </c>
      <c r="I822" s="1">
        <f>[1]Industry!E$3-([1]Industry!E$6-[1]Industry!E$70)</f>
        <v>52.878645404828255</v>
      </c>
      <c r="J822" s="1">
        <f>[2]Industry!F$3-([2]Industry!F$6-[2]Industry!F$70)</f>
        <v>54.2956338533508</v>
      </c>
      <c r="K822" s="1">
        <f>[2]Industry!G$3-([2]Industry!G$6-[2]Industry!G$70)</f>
        <v>51.054618714827122</v>
      </c>
      <c r="L822" s="1">
        <f>[2]Industry!H$3-([2]Industry!H$6-[2]Industry!H$70)</f>
        <v>52.25442849378981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8.7638351472648299</v>
      </c>
      <c r="G823" s="1">
        <f t="shared" ref="G823:K823" si="947">SUM(G824:G825)</f>
        <v>8.1704635202978011</v>
      </c>
      <c r="H823" s="1">
        <f t="shared" si="947"/>
        <v>6.4781621876523552</v>
      </c>
      <c r="I823" s="1">
        <f t="shared" si="947"/>
        <v>5.242282117366698</v>
      </c>
      <c r="J823" s="1">
        <f t="shared" si="947"/>
        <v>4.5784849148773654</v>
      </c>
      <c r="K823" s="1">
        <f t="shared" si="947"/>
        <v>2.4475372088079554</v>
      </c>
      <c r="L823" s="1">
        <f t="shared" ref="L823" si="948">SUM(L824:L825)</f>
        <v>0.18787776594917818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6.91791002273958</v>
      </c>
      <c r="G824" s="1">
        <f>[1]Industry!C$57</f>
        <v>6.3246703469299703</v>
      </c>
      <c r="H824" s="1">
        <f>[1]Industry!D$57</f>
        <v>6.4457194252637864</v>
      </c>
      <c r="I824" s="1">
        <f>[1]Industry!E$57</f>
        <v>5.2391430723309336</v>
      </c>
      <c r="J824" s="1">
        <f>[2]Industry!F$57</f>
        <v>4.5719647178084628</v>
      </c>
      <c r="K824" s="1">
        <f>[2]Industry!G$57</f>
        <v>2.4470942958389053</v>
      </c>
      <c r="L824" s="1">
        <f>[2]Industry!H$57</f>
        <v>0.18787776594917818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1.8459251245252504</v>
      </c>
      <c r="G825" s="1">
        <f>[1]Industry!C$58</f>
        <v>1.8457931733678312</v>
      </c>
      <c r="H825" s="1">
        <f>[1]Industry!D$58</f>
        <v>3.244276238856901E-2</v>
      </c>
      <c r="I825" s="1">
        <f>[1]Industry!E$58</f>
        <v>3.1390450357645489E-3</v>
      </c>
      <c r="J825" s="1">
        <f>[2]Industry!F$58</f>
        <v>6.5201970689027465E-3</v>
      </c>
      <c r="K825" s="1">
        <f>[2]Industry!G$58</f>
        <v>4.4291296905034941E-4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28.930480813302548</v>
      </c>
      <c r="G826" s="1">
        <f t="shared" ref="G826:K826" si="949">SUM(G827:G829)</f>
        <v>26.120206686790951</v>
      </c>
      <c r="H826" s="1">
        <f t="shared" si="949"/>
        <v>29.313729434782257</v>
      </c>
      <c r="I826" s="1">
        <f t="shared" si="949"/>
        <v>20.801599831324669</v>
      </c>
      <c r="J826" s="1">
        <f t="shared" si="949"/>
        <v>10.804128012144371</v>
      </c>
      <c r="K826" s="1">
        <f t="shared" si="949"/>
        <v>6.4309219531881912</v>
      </c>
      <c r="L826" s="1">
        <f t="shared" ref="L826" si="950">SUM(L827:L829)</f>
        <v>3.7180358021304865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28.61986559200254</v>
      </c>
      <c r="G827" s="1">
        <f>[1]Industry!C$59</f>
        <v>25.727636490005015</v>
      </c>
      <c r="H827" s="1">
        <f>[1]Industry!D$59</f>
        <v>28.100348063994108</v>
      </c>
      <c r="I827" s="1">
        <f>[1]Industry!E$59</f>
        <v>18.537435265853812</v>
      </c>
      <c r="J827" s="1">
        <f>[2]Industry!F$59</f>
        <v>8.4982138359497394</v>
      </c>
      <c r="K827" s="1">
        <f>[2]Industry!G$59</f>
        <v>4.1283727423925694</v>
      </c>
      <c r="L827" s="1">
        <f>[2]Industry!H$59</f>
        <v>0.9066923480963911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7.2732520008101903E-2</v>
      </c>
      <c r="I828" s="1">
        <f>[1]Industry!E$60</f>
        <v>2.6222601149550204E-2</v>
      </c>
      <c r="J828" s="1">
        <f>[2]Industry!F$60</f>
        <v>7.2433461774753533E-3</v>
      </c>
      <c r="K828" s="1">
        <f>[2]Industry!G$60</f>
        <v>3.8753597148152579E-3</v>
      </c>
      <c r="L828" s="1">
        <f>[2]Industry!H$60</f>
        <v>2.4523370409824242E-3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0.31061522130000835</v>
      </c>
      <c r="G829" s="1">
        <f>[1]Industry!C$68</f>
        <v>0.39257019678593641</v>
      </c>
      <c r="H829" s="1">
        <f>[1]Industry!D$68</f>
        <v>1.1406488507800474</v>
      </c>
      <c r="I829" s="1">
        <f>[1]Industry!E$68</f>
        <v>2.2379419643213079</v>
      </c>
      <c r="J829" s="1">
        <f>[2]Industry!F$68</f>
        <v>2.2986708300171559</v>
      </c>
      <c r="K829" s="1">
        <f>[2]Industry!G$68</f>
        <v>2.2986738510808067</v>
      </c>
      <c r="L829" s="1">
        <f>[2]Industry!H$68</f>
        <v>2.808891116993113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2.3675046449638706</v>
      </c>
      <c r="G830" s="1">
        <f t="shared" ref="G830:L830" si="953">G831</f>
        <v>2.307526236939708</v>
      </c>
      <c r="H830" s="1">
        <f t="shared" si="953"/>
        <v>8.6100965844087857E-2</v>
      </c>
      <c r="I830" s="1">
        <f t="shared" si="953"/>
        <v>2.9365655056350394E-3</v>
      </c>
      <c r="J830" s="1">
        <f t="shared" si="953"/>
        <v>4.1286847645579678E-3</v>
      </c>
      <c r="K830" s="1">
        <f t="shared" si="953"/>
        <v>4.2982506866428845E-4</v>
      </c>
      <c r="L830" s="1">
        <f t="shared" si="953"/>
        <v>2.8651161109113783E-6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2.3675046449638706</v>
      </c>
      <c r="G831" s="1">
        <f>[1]Industry!C$61</f>
        <v>2.307526236939708</v>
      </c>
      <c r="H831" s="1">
        <f>[1]Industry!D$61</f>
        <v>8.6100965844087857E-2</v>
      </c>
      <c r="I831" s="1">
        <f>[1]Industry!E$61</f>
        <v>2.9365655056350394E-3</v>
      </c>
      <c r="J831" s="1">
        <f>[2]Industry!F$61</f>
        <v>4.1286847645579678E-3</v>
      </c>
      <c r="K831" s="1">
        <f>[2]Industry!G$61</f>
        <v>4.2982506866428845E-4</v>
      </c>
      <c r="L831" s="1">
        <f>[2]Industry!H$61</f>
        <v>2.8651161109113783E-6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11.767714244012463</v>
      </c>
      <c r="G832" s="1">
        <f t="shared" ref="G832:K832" si="954">G833+G843</f>
        <v>12.635602607574004</v>
      </c>
      <c r="H832" s="1">
        <f t="shared" si="954"/>
        <v>12.96984503676804</v>
      </c>
      <c r="I832" s="1">
        <f t="shared" si="954"/>
        <v>13.503790325651032</v>
      </c>
      <c r="J832" s="1">
        <f t="shared" si="954"/>
        <v>14.408855864940673</v>
      </c>
      <c r="K832" s="1">
        <f t="shared" si="954"/>
        <v>14.020063500480033</v>
      </c>
      <c r="L832" s="1">
        <f t="shared" ref="L832" si="955">L833+L843</f>
        <v>16.872747022851506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5.185249597601489</v>
      </c>
      <c r="G833" s="1">
        <f>[1]Industry!C$62</f>
        <v>5.5677090452185043</v>
      </c>
      <c r="H833" s="1">
        <f>[1]Industry!D$62</f>
        <v>5.8793007002002549</v>
      </c>
      <c r="I833" s="1">
        <f>[1]Industry!E$62</f>
        <v>6.375406323532256</v>
      </c>
      <c r="J833" s="1">
        <f>[2]Industry!F$62</f>
        <v>7.2428043452775217</v>
      </c>
      <c r="K833" s="1">
        <f>[2]Industry!G$62</f>
        <v>6.8163623200113763</v>
      </c>
      <c r="L833" s="1">
        <f>[2]Industry!H$62</f>
        <v>8.7705302113078112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1.0882738510467735</v>
      </c>
      <c r="G834" s="1">
        <f t="shared" ref="G834:K834" si="956">IFERROR(G793/G$792,0)*G$833</f>
        <v>1.9910923158624092</v>
      </c>
      <c r="H834" s="1">
        <f t="shared" si="956"/>
        <v>1.3611477384643893</v>
      </c>
      <c r="I834" s="1">
        <f t="shared" si="956"/>
        <v>1.1679218085907579</v>
      </c>
      <c r="J834" s="1">
        <f t="shared" si="956"/>
        <v>0.7595316358087365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1.0597228877771845</v>
      </c>
      <c r="G835" s="1">
        <f t="shared" si="958"/>
        <v>0.24370533851287102</v>
      </c>
      <c r="H835" s="1">
        <f t="shared" si="958"/>
        <v>0.55979843322089473</v>
      </c>
      <c r="I835" s="1">
        <f t="shared" si="958"/>
        <v>5.566736165763931E-2</v>
      </c>
      <c r="J835" s="1">
        <f t="shared" si="958"/>
        <v>1.0124226584356382</v>
      </c>
      <c r="K835" s="1">
        <f t="shared" si="958"/>
        <v>0.14985241509256506</v>
      </c>
      <c r="L835" s="1">
        <f t="shared" ref="L835" si="959">IFERROR(L794/L$792,0)*L$833</f>
        <v>0.44476154944812357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8.6064424331044082E-2</v>
      </c>
      <c r="L836" s="1">
        <f t="shared" ref="L836" si="960">IFERROR(L795/L$792,0)*L$833</f>
        <v>0.25717716373675675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0</v>
      </c>
      <c r="J837" s="1">
        <f t="shared" si="958"/>
        <v>2.0562790630114245E-3</v>
      </c>
      <c r="K837" s="1">
        <f t="shared" si="958"/>
        <v>2.08217261023462E-3</v>
      </c>
      <c r="L837" s="1">
        <f t="shared" ref="L837" si="961">IFERROR(L796/L$792,0)*L$833</f>
        <v>3.7777581666020838E-4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2.2650146490868748</v>
      </c>
      <c r="G838" s="1">
        <f t="shared" si="958"/>
        <v>1.9457836328757525</v>
      </c>
      <c r="H838" s="1">
        <f t="shared" si="958"/>
        <v>0.10011344833837869</v>
      </c>
      <c r="I838" s="1">
        <f t="shared" si="958"/>
        <v>9.1670995609909919E-2</v>
      </c>
      <c r="J838" s="1">
        <f t="shared" si="958"/>
        <v>1.4955523616997068E-2</v>
      </c>
      <c r="K838" s="1">
        <f t="shared" si="958"/>
        <v>6.7043855414642738E-3</v>
      </c>
      <c r="L838" s="1">
        <f t="shared" ref="L838" si="962">IFERROR(L797/L$792,0)*L$833</f>
        <v>8.8040290605184365E-4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0.85711479137303659</v>
      </c>
      <c r="L839" s="1">
        <f t="shared" ref="L839" si="963">IFERROR(L798/L$792,0)*L$833</f>
        <v>1.0342454515152546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0.77223820969065582</v>
      </c>
      <c r="G840" s="1">
        <f t="shared" si="958"/>
        <v>1.387127757967471</v>
      </c>
      <c r="H840" s="1">
        <f t="shared" si="958"/>
        <v>3.8582410801765921</v>
      </c>
      <c r="I840" s="1">
        <f t="shared" si="958"/>
        <v>5.060146157673949</v>
      </c>
      <c r="J840" s="1">
        <f t="shared" si="958"/>
        <v>5.4449610198614833</v>
      </c>
      <c r="K840" s="1">
        <f t="shared" si="958"/>
        <v>5.0717856574201736</v>
      </c>
      <c r="L840" s="1">
        <f t="shared" ref="L840" si="964">IFERROR(L799/L$792,0)*L$833</f>
        <v>4.5765182419057107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0.55599503933575778</v>
      </c>
      <c r="L841" s="1">
        <f t="shared" ref="L841" si="965">IFERROR(L800/L$792,0)*L$833</f>
        <v>2.3558339293818036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0</v>
      </c>
      <c r="J842" s="1">
        <f t="shared" si="958"/>
        <v>8.8772284916555574E-3</v>
      </c>
      <c r="K842" s="1">
        <f t="shared" si="958"/>
        <v>8.676343430710029E-2</v>
      </c>
      <c r="L842" s="1">
        <f t="shared" ref="L842" si="966">IFERROR(L801/L$792,0)*L$833</f>
        <v>0.10073569659744988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6.5824646464109744</v>
      </c>
      <c r="G843" s="1">
        <f>[1]Industry!C$63</f>
        <v>7.0678935623555006</v>
      </c>
      <c r="H843" s="1">
        <f>[1]Industry!D$63</f>
        <v>7.0905443365677856</v>
      </c>
      <c r="I843" s="1">
        <f>[1]Industry!E$63</f>
        <v>7.1283840021187768</v>
      </c>
      <c r="J843" s="1">
        <f>[2]Industry!F$63</f>
        <v>7.1660515196631502</v>
      </c>
      <c r="K843" s="1">
        <f>[2]Industry!G$63</f>
        <v>7.2037011804686566</v>
      </c>
      <c r="L843" s="1">
        <f>[2]Industry!H$63</f>
        <v>8.1022168115436948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5.3112538801372393</v>
      </c>
      <c r="G844" s="1">
        <f t="shared" ref="G844:L844" si="967">G845</f>
        <v>6.2669954666482779</v>
      </c>
      <c r="H844" s="1">
        <f t="shared" si="967"/>
        <v>6.0030768912076287</v>
      </c>
      <c r="I844" s="1">
        <f t="shared" si="967"/>
        <v>7.0120500285676695</v>
      </c>
      <c r="J844" s="1">
        <f t="shared" si="967"/>
        <v>7.7145593204736391</v>
      </c>
      <c r="K844" s="1">
        <f t="shared" si="967"/>
        <v>5.9480085910564355</v>
      </c>
      <c r="L844" s="1">
        <f t="shared" si="967"/>
        <v>7.3309182070111492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5.3112538801372393</v>
      </c>
      <c r="G845" s="1">
        <f>[1]Industry!C$64</f>
        <v>6.2669954666482779</v>
      </c>
      <c r="H845" s="1">
        <f>[1]Industry!D$64</f>
        <v>6.0030768912076287</v>
      </c>
      <c r="I845" s="1">
        <f>[1]Industry!E$64</f>
        <v>7.0120500285676695</v>
      </c>
      <c r="J845" s="1">
        <f>[2]Industry!F$64</f>
        <v>7.7145593204736391</v>
      </c>
      <c r="K845" s="1">
        <f>[2]Industry!G$64</f>
        <v>5.9480085910564355</v>
      </c>
      <c r="L845" s="1">
        <f>[2]Industry!H$64</f>
        <v>7.3309182070111492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0.46159904975162597</v>
      </c>
      <c r="G846" s="1">
        <f t="shared" ref="G846:L846" si="968">G847</f>
        <v>0.5446111002284405</v>
      </c>
      <c r="H846" s="1">
        <f t="shared" si="968"/>
        <v>0.57530150914458866</v>
      </c>
      <c r="I846" s="1">
        <f t="shared" si="968"/>
        <v>0.59338116082553971</v>
      </c>
      <c r="J846" s="1">
        <f t="shared" si="968"/>
        <v>0.54625358172818406</v>
      </c>
      <c r="K846" s="1">
        <f t="shared" si="968"/>
        <v>0.54625876101163784</v>
      </c>
      <c r="L846" s="1">
        <f t="shared" si="968"/>
        <v>0.54627672357735635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0.46159904975162597</v>
      </c>
      <c r="G847" s="1">
        <f>[1]Industry!C$65</f>
        <v>0.5446111002284405</v>
      </c>
      <c r="H847" s="1">
        <f>[1]Industry!D$65</f>
        <v>0.57530150914458866</v>
      </c>
      <c r="I847" s="1">
        <f>[1]Industry!E$65</f>
        <v>0.59338116082553971</v>
      </c>
      <c r="J847" s="1">
        <f>[2]Industry!F$65</f>
        <v>0.54625358172818406</v>
      </c>
      <c r="K847" s="1">
        <f>[2]Industry!G$65</f>
        <v>0.54625876101163784</v>
      </c>
      <c r="L847" s="1">
        <f>[2]Industry!H$65</f>
        <v>0.54627672357735635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4.1174169544843391</v>
      </c>
      <c r="G848" s="1">
        <f t="shared" ref="G848:L848" si="969">G849</f>
        <v>4.2667306877460165</v>
      </c>
      <c r="H848" s="1">
        <f t="shared" si="969"/>
        <v>5.7220937662547611</v>
      </c>
      <c r="I848" s="1">
        <f t="shared" si="969"/>
        <v>6.0522454199934543</v>
      </c>
      <c r="J848" s="1">
        <f t="shared" si="969"/>
        <v>5.6766570990356024</v>
      </c>
      <c r="K848" s="1">
        <f t="shared" si="969"/>
        <v>4.3954897199244876</v>
      </c>
      <c r="L848" s="1">
        <f t="shared" si="969"/>
        <v>3.2361057646844111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4.1174169544843391</v>
      </c>
      <c r="G849" s="1">
        <f>[1]Industry!C$66</f>
        <v>4.2667306877460165</v>
      </c>
      <c r="H849" s="1">
        <f>[1]Industry!D$66</f>
        <v>5.7220937662547611</v>
      </c>
      <c r="I849" s="1">
        <f>[1]Industry!E$66</f>
        <v>6.0522454199934543</v>
      </c>
      <c r="J849" s="1">
        <f>[2]Industry!F$66</f>
        <v>5.6766570990356024</v>
      </c>
      <c r="K849" s="1">
        <f>[2]Industry!G$66</f>
        <v>4.3954897199244876</v>
      </c>
      <c r="L849" s="1">
        <f>[2]Industry!H$66</f>
        <v>3.2361057646844111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6.8107582252723106E-2</v>
      </c>
      <c r="G850" s="1">
        <f t="shared" ref="G850:L850" si="970">G851</f>
        <v>8.5601774398449418E-2</v>
      </c>
      <c r="H850" s="1">
        <f t="shared" si="970"/>
        <v>0.10204303950376965</v>
      </c>
      <c r="I850" s="1">
        <f t="shared" si="970"/>
        <v>2.3313497198267528</v>
      </c>
      <c r="J850" s="1">
        <f t="shared" si="970"/>
        <v>1.1055182339051275</v>
      </c>
      <c r="K850" s="1">
        <f t="shared" si="970"/>
        <v>1.0625543929346366</v>
      </c>
      <c r="L850" s="1">
        <f t="shared" si="970"/>
        <v>0.72022861456633624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6.8107582252723106E-2</v>
      </c>
      <c r="G851" s="1">
        <f>[1]Industry!C$67</f>
        <v>8.5601774398449418E-2</v>
      </c>
      <c r="H851" s="1">
        <f>[1]Industry!D$67</f>
        <v>0.10204303950376965</v>
      </c>
      <c r="I851" s="1">
        <f>[1]Industry!E$67</f>
        <v>2.3313497198267528</v>
      </c>
      <c r="J851" s="1">
        <f>[2]Industry!F$67</f>
        <v>1.1055182339051275</v>
      </c>
      <c r="K851" s="1">
        <f>[2]Industry!G$67</f>
        <v>1.0625543929346366</v>
      </c>
      <c r="L851" s="1">
        <f>[2]Industry!H$67</f>
        <v>0.72022861456633624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0</v>
      </c>
      <c r="J852" s="1">
        <f t="shared" si="971"/>
        <v>7.877587390811402</v>
      </c>
      <c r="K852" s="1">
        <f t="shared" si="971"/>
        <v>8.4473416111331332</v>
      </c>
      <c r="L852" s="1">
        <f t="shared" si="971"/>
        <v>8.447334903375415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7.877587390811402</v>
      </c>
      <c r="K853" s="1">
        <f>[2]Industry!G$69</f>
        <v>8.4473416111331332</v>
      </c>
      <c r="L853" s="1">
        <f>[2]Industry!H$69</f>
        <v>8.447334903375415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2.084147841936673</v>
      </c>
      <c r="H854" s="1">
        <f t="shared" si="972"/>
        <v>2.0840960164003799</v>
      </c>
      <c r="I854" s="1">
        <f t="shared" si="972"/>
        <v>2.1606887510302721</v>
      </c>
      <c r="J854" s="1">
        <f t="shared" si="972"/>
        <v>2.2155072224837347</v>
      </c>
      <c r="K854" s="1">
        <f t="shared" si="972"/>
        <v>14.708174175247871</v>
      </c>
      <c r="L854" s="1">
        <f t="shared" ref="L854" si="973">SUM(L855:L856)</f>
        <v>15.047191049481663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0.36221792661536223</v>
      </c>
      <c r="H855" s="1">
        <f>[1]Industry!D$6-H856</f>
        <v>0.36220891951043255</v>
      </c>
      <c r="I855" s="1">
        <f>[1]Industry!E$6-I856</f>
        <v>0.37838624600362936</v>
      </c>
      <c r="J855" s="1">
        <f>[2]Industry!F$6-J856</f>
        <v>0.38731479992953854</v>
      </c>
      <c r="K855" s="1">
        <f>[2]Industry!G$6-K856</f>
        <v>4.1520057910097066</v>
      </c>
      <c r="L855" s="1">
        <f>[2]Industry!H$6-L856</f>
        <v>4.4397189776307808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1.7219299153213108</v>
      </c>
      <c r="H856" s="1">
        <f>[1]Industry!D$70</f>
        <v>1.7218870968899473</v>
      </c>
      <c r="I856" s="1">
        <f>[1]Industry!E$70</f>
        <v>1.7823025050266428</v>
      </c>
      <c r="J856" s="1">
        <f>[2]Industry!F$70</f>
        <v>1.8281924225541961</v>
      </c>
      <c r="K856" s="1">
        <f>[2]Industry!G$70</f>
        <v>10.556168384238164</v>
      </c>
      <c r="L856" s="1">
        <f>[2]Industry!H$70</f>
        <v>10.607472071850882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0.84261542941328316</v>
      </c>
      <c r="G858" s="4">
        <f t="shared" ref="G858:K858" si="974">IFERROR(G820/G765,"-")</f>
        <v>0.84306236513985411</v>
      </c>
      <c r="H858" s="4">
        <f t="shared" si="974"/>
        <v>0.84373276872970682</v>
      </c>
      <c r="I858" s="4">
        <f t="shared" si="974"/>
        <v>0.84485010804613025</v>
      </c>
      <c r="J858" s="4">
        <f t="shared" si="974"/>
        <v>0.8459674473625538</v>
      </c>
      <c r="K858" s="4">
        <f t="shared" si="974"/>
        <v>0.84708478667897702</v>
      </c>
      <c r="L858" s="4">
        <f t="shared" ref="L858" si="975">IFERROR(L820/L765,"-")</f>
        <v>0.8493194653118219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3.1055374774069149</v>
      </c>
      <c r="H859" s="4">
        <f t="shared" si="978"/>
        <v>3.1423734201402915</v>
      </c>
      <c r="I859" s="4">
        <f t="shared" si="978"/>
        <v>3.2037666580292488</v>
      </c>
      <c r="J859" s="4">
        <f t="shared" si="978"/>
        <v>3.2651598959182091</v>
      </c>
      <c r="K859" s="4">
        <f t="shared" si="978"/>
        <v>3.3265531338071708</v>
      </c>
      <c r="L859" s="4">
        <f t="shared" ref="L859" si="979">IFERROR(L821/L766,"-")</f>
        <v>3.4493396095850941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0.99999906163469399</v>
      </c>
      <c r="H860" s="4">
        <f t="shared" si="980"/>
        <v>0.99999912262705681</v>
      </c>
      <c r="I860" s="4">
        <f t="shared" si="980"/>
        <v>1.0000054848621223</v>
      </c>
      <c r="J860" s="4">
        <f t="shared" si="980"/>
        <v>1.0000028541936683</v>
      </c>
      <c r="K860" s="4">
        <f t="shared" si="980"/>
        <v>0.99999639387858008</v>
      </c>
      <c r="L860" s="4">
        <f t="shared" ref="L860" si="981">IFERROR(L822/L767,"-")</f>
        <v>0.96356608810706856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0.77746213224363558</v>
      </c>
      <c r="G861" s="4">
        <f t="shared" ref="G861:K862" si="982">IFERROR(G824/G769,"-")</f>
        <v>0.77871988564932404</v>
      </c>
      <c r="H861" s="4">
        <f t="shared" si="982"/>
        <v>0.78060651575785645</v>
      </c>
      <c r="I861" s="4">
        <f t="shared" si="982"/>
        <v>0.78375089927207642</v>
      </c>
      <c r="J861" s="4">
        <f t="shared" si="982"/>
        <v>0.78689528278629717</v>
      </c>
      <c r="K861" s="4">
        <f t="shared" si="982"/>
        <v>0.79003966630051958</v>
      </c>
      <c r="L861" s="4">
        <f t="shared" ref="L861" si="983">IFERROR(L824/L769,"-")</f>
        <v>0.79632843332896075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0.67612499999999953</v>
      </c>
      <c r="G862" s="4">
        <f t="shared" si="982"/>
        <v>0.67904999999999938</v>
      </c>
      <c r="H862" s="4">
        <f t="shared" si="982"/>
        <v>0.68343750000000036</v>
      </c>
      <c r="I862" s="4">
        <f t="shared" si="982"/>
        <v>0.69074999999999875</v>
      </c>
      <c r="J862" s="4">
        <f t="shared" si="982"/>
        <v>0.69806249999999992</v>
      </c>
      <c r="K862" s="4">
        <f t="shared" si="982"/>
        <v>0.70537500000000097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0.80566116177430336</v>
      </c>
      <c r="G863" s="4">
        <f t="shared" ref="G863:K865" si="985">IFERROR(G827/G779,"-")</f>
        <v>0.8061004452224656</v>
      </c>
      <c r="H863" s="4">
        <f t="shared" si="985"/>
        <v>0.80608821485178184</v>
      </c>
      <c r="I863" s="4">
        <f t="shared" si="985"/>
        <v>0.80804567256343973</v>
      </c>
      <c r="J863" s="4">
        <f t="shared" si="985"/>
        <v>0.8326428691500084</v>
      </c>
      <c r="K863" s="4">
        <f t="shared" si="985"/>
        <v>0.83682043106043735</v>
      </c>
      <c r="L863" s="4">
        <f t="shared" ref="L863" si="986">IFERROR(L827/L779,"-")</f>
        <v>0.83987871715241214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7.7895443764011123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0.66669950225755537</v>
      </c>
      <c r="G865" s="4">
        <f t="shared" si="985"/>
        <v>0.69152741007847685</v>
      </c>
      <c r="H865" s="4">
        <f t="shared" si="985"/>
        <v>0.70688581817275475</v>
      </c>
      <c r="I865" s="4">
        <f t="shared" si="985"/>
        <v>0.71099999999999952</v>
      </c>
      <c r="J865" s="4">
        <f t="shared" si="985"/>
        <v>0.71099999999999985</v>
      </c>
      <c r="K865" s="4">
        <f t="shared" si="985"/>
        <v>0.71099999999999941</v>
      </c>
      <c r="L865" s="4">
        <f t="shared" ref="L865" si="988">IFERROR(L829/L781,"-")</f>
        <v>0.72000000000000008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0.66499999999999948</v>
      </c>
      <c r="G866" s="4">
        <f t="shared" ref="G866:K866" si="989">IFERROR(G831/G790,"-")</f>
        <v>0.66600000000000037</v>
      </c>
      <c r="H866" s="4">
        <f t="shared" si="989"/>
        <v>0.66749999999999987</v>
      </c>
      <c r="I866" s="4">
        <f t="shared" si="989"/>
        <v>0.67000000000000015</v>
      </c>
      <c r="J866" s="4">
        <f t="shared" si="989"/>
        <v>0.67250000000000043</v>
      </c>
      <c r="K866" s="4">
        <f t="shared" si="989"/>
        <v>0.67500000000000016</v>
      </c>
      <c r="L866" s="4">
        <f t="shared" ref="L866" si="990">IFERROR(L831/L790,"-")</f>
        <v>0.67999999999999994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1.1701510746223676</v>
      </c>
      <c r="G867" s="4">
        <f t="shared" ref="G867:K867" si="991">IFERROR(G834/G793,"-")</f>
        <v>0.98911936711276671</v>
      </c>
      <c r="H867" s="4">
        <f t="shared" si="991"/>
        <v>1.0387111898072838</v>
      </c>
      <c r="I867" s="4">
        <f t="shared" si="991"/>
        <v>0.9403314307098356</v>
      </c>
      <c r="J867" s="4">
        <f t="shared" si="991"/>
        <v>0.9350020921501353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1.1701510746223673</v>
      </c>
      <c r="G868" s="4">
        <f t="shared" si="993"/>
        <v>0.9891193671127666</v>
      </c>
      <c r="H868" s="4">
        <f t="shared" si="993"/>
        <v>1.0387111898072838</v>
      </c>
      <c r="I868" s="4">
        <f t="shared" si="993"/>
        <v>0.9403314307098356</v>
      </c>
      <c r="J868" s="4">
        <f t="shared" si="993"/>
        <v>0.93500209215013541</v>
      </c>
      <c r="K868" s="4">
        <f t="shared" si="993"/>
        <v>0.94115279720421718</v>
      </c>
      <c r="L868" s="4">
        <f t="shared" ref="L868" si="994">IFERROR(L835/L794,"-")</f>
        <v>0.94923026615164885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0.94115279720421718</v>
      </c>
      <c r="L869" s="4">
        <f t="shared" ref="L869" si="995">IFERROR(L836/L795,"-")</f>
        <v>0.94923026615164896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 t="str">
        <f t="shared" si="993"/>
        <v>-</v>
      </c>
      <c r="J870" s="4">
        <f t="shared" si="993"/>
        <v>0.93500209215013541</v>
      </c>
      <c r="K870" s="4">
        <f t="shared" si="993"/>
        <v>0.9411527972042173</v>
      </c>
      <c r="L870" s="4">
        <f t="shared" ref="L870" si="996">IFERROR(L837/L796,"-")</f>
        <v>0.94923026615164896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1.1701510746223673</v>
      </c>
      <c r="G871" s="4">
        <f t="shared" si="993"/>
        <v>0.98911936711276671</v>
      </c>
      <c r="H871" s="4">
        <f t="shared" si="993"/>
        <v>1.0387111898072836</v>
      </c>
      <c r="I871" s="4">
        <f t="shared" si="993"/>
        <v>0.94033143070983571</v>
      </c>
      <c r="J871" s="4">
        <f t="shared" si="993"/>
        <v>0.93500209215013541</v>
      </c>
      <c r="K871" s="4">
        <f t="shared" si="993"/>
        <v>0.94115279720421718</v>
      </c>
      <c r="L871" s="4">
        <f t="shared" ref="L871" si="997">IFERROR(L838/L797,"-")</f>
        <v>0.94923026615164896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0.9411527972042173</v>
      </c>
      <c r="L872" s="4">
        <f t="shared" ref="L872" si="998">IFERROR(L839/L798,"-")</f>
        <v>0.94923026615164885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1.1701510746223676</v>
      </c>
      <c r="G873" s="4">
        <f t="shared" si="993"/>
        <v>0.9891193671127666</v>
      </c>
      <c r="H873" s="4">
        <f t="shared" si="993"/>
        <v>1.0387111898072838</v>
      </c>
      <c r="I873" s="4">
        <f t="shared" si="993"/>
        <v>0.94033143070983571</v>
      </c>
      <c r="J873" s="4">
        <f t="shared" si="993"/>
        <v>0.9350020921501353</v>
      </c>
      <c r="K873" s="4">
        <f t="shared" si="993"/>
        <v>0.94115279720421718</v>
      </c>
      <c r="L873" s="4">
        <f t="shared" ref="L873" si="999">IFERROR(L840/L799,"-")</f>
        <v>0.94923026615164885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0.9411527972042173</v>
      </c>
      <c r="L874" s="4">
        <f t="shared" ref="L874" si="1000">IFERROR(L841/L800,"-")</f>
        <v>0.94923026615164896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 t="str">
        <f t="shared" si="993"/>
        <v>-</v>
      </c>
      <c r="J875" s="4">
        <f t="shared" si="993"/>
        <v>0.93500209215013541</v>
      </c>
      <c r="K875" s="4">
        <f t="shared" si="993"/>
        <v>0.94115279720421707</v>
      </c>
      <c r="L875" s="4">
        <f t="shared" ref="L875" si="1001">IFERROR(L842/L801,"-")</f>
        <v>0.94923026615164885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0.92447626236575009</v>
      </c>
      <c r="G876" s="4">
        <f t="shared" si="993"/>
        <v>0.92645636412827248</v>
      </c>
      <c r="H876" s="4">
        <f t="shared" si="993"/>
        <v>0.92942651677205412</v>
      </c>
      <c r="I876" s="4">
        <f t="shared" si="993"/>
        <v>0.93437677117835827</v>
      </c>
      <c r="J876" s="4">
        <f t="shared" si="993"/>
        <v>0.93932702558466186</v>
      </c>
      <c r="K876" s="4">
        <f>IFERROR(K843/K802,"-")</f>
        <v>0.94427727999096511</v>
      </c>
      <c r="L876" s="4">
        <f>IFERROR(L843/L802,"-")</f>
        <v>0.95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0.59000000000000008</v>
      </c>
      <c r="G877" s="4">
        <f t="shared" ref="G877:K877" si="1002">IFERROR(G845/G804,"-")</f>
        <v>0.59066666666666656</v>
      </c>
      <c r="H877" s="4">
        <f t="shared" si="1002"/>
        <v>0.59166666666666645</v>
      </c>
      <c r="I877" s="4">
        <f t="shared" si="1002"/>
        <v>0.5933333333333326</v>
      </c>
      <c r="J877" s="4">
        <f t="shared" si="1002"/>
        <v>0.59499999999999986</v>
      </c>
      <c r="K877" s="4">
        <f t="shared" si="1002"/>
        <v>0.59666666666666701</v>
      </c>
      <c r="L877" s="4">
        <f t="shared" ref="L877" si="1003">IFERROR(L845/L804,"-")</f>
        <v>0.6000000000000002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04">IFERROR(G847/G806,"-")</f>
        <v>0.73833333333333329</v>
      </c>
      <c r="H878" s="4">
        <f t="shared" si="1004"/>
        <v>0.73958333333333381</v>
      </c>
      <c r="I878" s="4">
        <f t="shared" si="1004"/>
        <v>0.74166666666666747</v>
      </c>
      <c r="J878" s="4">
        <f t="shared" si="1004"/>
        <v>0.7437499999999998</v>
      </c>
      <c r="K878" s="4">
        <f t="shared" si="1004"/>
        <v>0.74583333333333313</v>
      </c>
      <c r="L878" s="4">
        <f t="shared" ref="L878" si="1005">IFERROR(L847/L806,"-")</f>
        <v>0.74999999999999967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0.52800000000000014</v>
      </c>
      <c r="G879" s="4">
        <f t="shared" ref="G879:K879" si="1006">IFERROR(G849/G808,"-")</f>
        <v>0.52800000000000002</v>
      </c>
      <c r="H879" s="4">
        <f t="shared" si="1006"/>
        <v>0.52800000000000002</v>
      </c>
      <c r="I879" s="4">
        <f t="shared" si="1006"/>
        <v>0.52800000000000036</v>
      </c>
      <c r="J879" s="4">
        <f t="shared" si="1006"/>
        <v>0.5279999999999998</v>
      </c>
      <c r="K879" s="4">
        <f t="shared" si="1006"/>
        <v>0.52800000000000069</v>
      </c>
      <c r="L879" s="4">
        <f t="shared" ref="L879" si="1007">IFERROR(L849/L808,"-")</f>
        <v>0.54400000000000015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 t="str">
        <f t="shared" si="1010"/>
        <v>-</v>
      </c>
      <c r="J881" s="4">
        <f t="shared" si="1010"/>
        <v>0.78386354242947198</v>
      </c>
      <c r="K881" s="4">
        <f t="shared" si="1010"/>
        <v>0.79689990611357386</v>
      </c>
      <c r="L881" s="4">
        <f t="shared" ref="L881" si="1011">IFERROR(L853/L814,"-")</f>
        <v>0.80945385366150591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140.10259811175644</v>
      </c>
      <c r="G882" s="17">
        <f t="shared" si="1012"/>
        <v>136.76646895044979</v>
      </c>
      <c r="H882" s="17">
        <f t="shared" si="1012"/>
        <v>132.76306201141824</v>
      </c>
      <c r="I882" s="17">
        <f t="shared" si="1012"/>
        <v>121.47084718927252</v>
      </c>
      <c r="J882" s="17">
        <f t="shared" si="1012"/>
        <v>115.83105364465091</v>
      </c>
      <c r="K882" s="17">
        <f t="shared" si="1012"/>
        <v>110.11011079900432</v>
      </c>
      <c r="L882" s="17">
        <f t="shared" ref="L882" si="1013">L883+L887+L894+L905+L913+L915+L917+L919+L923</f>
        <v>96.983335936584808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60.950448759542525</v>
      </c>
      <c r="G883" s="1">
        <f>[1]Services!C$11</f>
        <v>60.772458648175679</v>
      </c>
      <c r="H883" s="1">
        <f>[1]Services!D$11</f>
        <v>61.257814825617999</v>
      </c>
      <c r="I883" s="1">
        <f>[1]Services!E$11</f>
        <v>58.408792766706213</v>
      </c>
      <c r="J883" s="1">
        <f>[2]Services!F$11</f>
        <v>58.138353247621389</v>
      </c>
      <c r="K883" s="1">
        <f>[2]Services!G$11</f>
        <v>57.637673932673337</v>
      </c>
      <c r="L883" s="1">
        <f>[2]Services!H$11</f>
        <v>54.095977596450837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2.6238847409468149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0.64527196001545362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1.1044682177838305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0.61480768134112684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0.53503465118754301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0.43742055312680522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0.30490409319494854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1.3317894436832673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1.4252639343739246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1.6815575406656758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2.593608142969277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3.4329801156056376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4.4224283045067994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4.8622752640205036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58.701922753786299</v>
      </c>
      <c r="H886" s="1">
        <f>[1]Services!D$11-[1]Services!D$28</f>
        <v>58.471789067168494</v>
      </c>
      <c r="I886" s="1">
        <f>[1]Services!E$11-[1]Services!E$28</f>
        <v>55.200376942395806</v>
      </c>
      <c r="J886" s="1">
        <f>[2]Services!F$11-[2]Services!F$28</f>
        <v>54.170338480828207</v>
      </c>
      <c r="K886" s="1">
        <f>[2]Services!G$11-[2]Services!G$28</f>
        <v>52.777825075039729</v>
      </c>
      <c r="L886" s="1">
        <f>[2]Services!H$11-[2]Services!H$28</f>
        <v>48.928798239235384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30.256679168903222</v>
      </c>
      <c r="G887" s="1">
        <f t="shared" ref="G887:L887" si="1016">G888</f>
        <v>25.799210065042509</v>
      </c>
      <c r="H887" s="1">
        <f t="shared" si="1016"/>
        <v>26.114252197428314</v>
      </c>
      <c r="I887" s="1">
        <f t="shared" si="1016"/>
        <v>15.489299762393747</v>
      </c>
      <c r="J887" s="1">
        <f t="shared" si="1016"/>
        <v>11.775886115214812</v>
      </c>
      <c r="K887" s="1">
        <f t="shared" si="1016"/>
        <v>6.7708974899819578</v>
      </c>
      <c r="L887" s="1">
        <f t="shared" si="1016"/>
        <v>1.2715856029266794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30.256679168903222</v>
      </c>
      <c r="G888" s="1">
        <f t="shared" ref="G888:K888" si="1017">SUM(G891,G893)</f>
        <v>25.799210065042509</v>
      </c>
      <c r="H888" s="1">
        <f t="shared" si="1017"/>
        <v>26.114252197428314</v>
      </c>
      <c r="I888" s="1">
        <f t="shared" si="1017"/>
        <v>15.489299762393747</v>
      </c>
      <c r="J888" s="1">
        <f t="shared" si="1017"/>
        <v>11.775886115214812</v>
      </c>
      <c r="K888" s="1">
        <f t="shared" si="1017"/>
        <v>6.7708974899819578</v>
      </c>
      <c r="L888" s="1">
        <f t="shared" ref="L888" si="1018">SUM(L891,L893)</f>
        <v>1.2715856029266794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30.256679168903222</v>
      </c>
      <c r="G889" s="1">
        <f t="shared" ref="G889:L889" si="1019">G890</f>
        <v>25.799210065042509</v>
      </c>
      <c r="H889" s="1">
        <f t="shared" si="1019"/>
        <v>26.113314941272144</v>
      </c>
      <c r="I889" s="1">
        <f t="shared" si="1019"/>
        <v>15.481939363223526</v>
      </c>
      <c r="J889" s="1">
        <f t="shared" si="1019"/>
        <v>11.774365169027046</v>
      </c>
      <c r="K889" s="1">
        <f t="shared" si="1019"/>
        <v>6.7698279429055273</v>
      </c>
      <c r="L889" s="1">
        <f t="shared" si="1019"/>
        <v>9.1391402179647824E-6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30.256679168903222</v>
      </c>
      <c r="G890" s="1">
        <f>[1]Services!C$12</f>
        <v>25.799210065042509</v>
      </c>
      <c r="H890" s="1">
        <f>[1]Services!D$12</f>
        <v>26.113314941272144</v>
      </c>
      <c r="I890" s="1">
        <f>[1]Services!E$12</f>
        <v>15.481939363223526</v>
      </c>
      <c r="J890" s="1">
        <f>[2]Services!F$12</f>
        <v>11.774365169027046</v>
      </c>
      <c r="K890" s="1">
        <f>[2]Services!G$12</f>
        <v>6.7698279429055273</v>
      </c>
      <c r="L890" s="1">
        <f>[2]Services!H$12</f>
        <v>9.1391402179647824E-6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30.256679168903222</v>
      </c>
      <c r="G891" s="1">
        <f t="shared" ref="G891:K891" si="1020">G890</f>
        <v>25.799210065042509</v>
      </c>
      <c r="H891" s="1">
        <f t="shared" si="1020"/>
        <v>26.113314941272144</v>
      </c>
      <c r="I891" s="1">
        <f t="shared" si="1020"/>
        <v>15.481939363223526</v>
      </c>
      <c r="J891" s="1">
        <f t="shared" si="1020"/>
        <v>11.774365169027046</v>
      </c>
      <c r="K891" s="1">
        <f t="shared" si="1020"/>
        <v>6.7698279429055273</v>
      </c>
      <c r="L891" s="1">
        <f t="shared" ref="L891" si="1021">L890</f>
        <v>9.1391402179647824E-6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9.3725615617091672E-4</v>
      </c>
      <c r="I892">
        <f t="shared" si="1022"/>
        <v>7.3603991702199485E-3</v>
      </c>
      <c r="J892">
        <f t="shared" si="1022"/>
        <v>1.5209461877658008E-3</v>
      </c>
      <c r="K892">
        <f t="shared" si="1022"/>
        <v>1.0695470764303845E-3</v>
      </c>
      <c r="L892">
        <f t="shared" si="1022"/>
        <v>1.2715764637864615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9.3725615617091672E-4</v>
      </c>
      <c r="I893">
        <f>[1]Services!E$13</f>
        <v>7.3603991702199485E-3</v>
      </c>
      <c r="J893">
        <f>[2]Services!F$13</f>
        <v>1.5209461877658008E-3</v>
      </c>
      <c r="K893">
        <f>[2]Services!G$13</f>
        <v>1.0695470764303845E-3</v>
      </c>
      <c r="L893">
        <f>[2]Services!H$13</f>
        <v>1.2715764637864615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26.95115646417451</v>
      </c>
      <c r="G894" s="1">
        <f t="shared" ref="G894:K894" si="1023">SUM(G895:G897)</f>
        <v>28.283571641452646</v>
      </c>
      <c r="H894" s="1">
        <f t="shared" si="1023"/>
        <v>25.206358997463987</v>
      </c>
      <c r="I894" s="1">
        <f t="shared" si="1023"/>
        <v>23.38523821010757</v>
      </c>
      <c r="J894" s="1">
        <f t="shared" si="1023"/>
        <v>19.569341035308547</v>
      </c>
      <c r="K894" s="1">
        <f t="shared" si="1023"/>
        <v>16.260363778622803</v>
      </c>
      <c r="L894" s="1">
        <f t="shared" ref="L894" si="1024">SUM(L895:L897)</f>
        <v>12.084111989434945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25.548774405374235</v>
      </c>
      <c r="G895" s="1">
        <f>SUM([1]Services!C$14:C$15)</f>
        <v>26.746259085957988</v>
      </c>
      <c r="H895" s="1">
        <f>SUM([1]Services!D$14:D$15)</f>
        <v>23.970212817789154</v>
      </c>
      <c r="I895" s="1">
        <f>SUM([1]Services!E$14:E$15)</f>
        <v>20.084651660268161</v>
      </c>
      <c r="J895" s="1">
        <f>SUM([2]Services!F$14:F$15)</f>
        <v>15.426112731386382</v>
      </c>
      <c r="K895" s="1">
        <f>SUM([2]Services!G$14:G$15)</f>
        <v>11.120584180935449</v>
      </c>
      <c r="L895" s="1">
        <f>SUM([2]Services!H$14:H$15)</f>
        <v>7.1674768225793777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1.2361461796748339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3.3005865498394074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4.1432283039221627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5.1397795976873555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4.916635166855567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1.402382058800276</v>
      </c>
      <c r="G897" s="1">
        <f>[1]Services!C$16</f>
        <v>1.5373125554946594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25.270451645074157</v>
      </c>
      <c r="G898" s="1">
        <f>[1]Services!C$14</f>
        <v>25.064134787876768</v>
      </c>
      <c r="H898" s="1">
        <f>[1]Services!D$14</f>
        <v>23.281682762432812</v>
      </c>
      <c r="I898" s="1">
        <f>[1]Services!E$14</f>
        <v>19.366832890143371</v>
      </c>
      <c r="J898" s="1">
        <f>[2]Services!F$14</f>
        <v>14.763502255095393</v>
      </c>
      <c r="K898" s="1">
        <f>[2]Services!G$14</f>
        <v>9.1306614612100425</v>
      </c>
      <c r="L898" s="1">
        <f>[2]Services!H$14</f>
        <v>4.5157558926369994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25.270451645074157</v>
      </c>
      <c r="G899" s="1">
        <f>[1]Services!C$14*IFERROR(G895/SUM(G895:G896),0)</f>
        <v>25.064134787876768</v>
      </c>
      <c r="H899" s="1">
        <f>[1]Services!D$14*IFERROR(H895/SUM(H895:H896),0)</f>
        <v>22.139924716136708</v>
      </c>
      <c r="I899" s="1">
        <f>[1]Services!E$14*IFERROR(I895/SUM(I895:I896),0)</f>
        <v>16.633403041112953</v>
      </c>
      <c r="J899" s="1">
        <f>[2]Services!F$14*IFERROR(J895/SUM(J895:J896),0)</f>
        <v>11.637767959905544</v>
      </c>
      <c r="K899" s="1">
        <f>[2]Services!G$14*IFERROR(K895/SUM(K895:K896),0)</f>
        <v>6.244527538830333</v>
      </c>
      <c r="L899" s="1">
        <f>[2]Services!H$14*IFERROR(L895/SUM(L895:L896),0)</f>
        <v>2.6784405610606568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1.1417580462961041</v>
      </c>
      <c r="I900" s="1">
        <f t="shared" si="1028"/>
        <v>2.7334298490304185</v>
      </c>
      <c r="J900" s="1">
        <f t="shared" si="1028"/>
        <v>3.125734295189849</v>
      </c>
      <c r="K900" s="1">
        <f t="shared" si="1028"/>
        <v>2.8861339223797096</v>
      </c>
      <c r="L900" s="1">
        <f t="shared" ref="L900" si="1029">L898-L899</f>
        <v>1.8373153315763426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1.6807048191003551</v>
      </c>
      <c r="G901" s="1">
        <f>[1]Services!C$15+G904</f>
        <v>3.2194368535758811</v>
      </c>
      <c r="H901" s="1">
        <f>[1]Services!D$15+H904</f>
        <v>0.68853005535634126</v>
      </c>
      <c r="I901" s="1">
        <f>[1]Services!E$15+I904</f>
        <v>0.71781877012478923</v>
      </c>
      <c r="J901" s="1">
        <f>[2]Services!F$15+J904</f>
        <v>0.66261047629099035</v>
      </c>
      <c r="K901" s="1">
        <f>[2]Services!G$15+K904</f>
        <v>1.9899227197254068</v>
      </c>
      <c r="L901" s="1">
        <f>[2]Services!H$15+L904</f>
        <v>2.6517209299423778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0.27832276030007902</v>
      </c>
      <c r="G902" s="1">
        <f>[1]Services!C$15*G895/SUM(G895:G896)</f>
        <v>1.6821242980812219</v>
      </c>
      <c r="H902" s="1">
        <f>[1]Services!D$15*H895/SUM(H895:H896)</f>
        <v>0.65476382209727846</v>
      </c>
      <c r="I902" s="1">
        <f>[1]Services!E$15*I895/SUM(I895:I896)</f>
        <v>0.61650601219563883</v>
      </c>
      <c r="J902" s="1">
        <f>[2]Services!F$15*J895/SUM(J895:J896)</f>
        <v>0.52232233501475589</v>
      </c>
      <c r="K902" s="1">
        <f>[2]Services!G$15*K895/SUM(K895:K896)</f>
        <v>1.3609230039093665</v>
      </c>
      <c r="L902" s="1">
        <f>[2]Services!H$15*L895/SUM(L895:L896)</f>
        <v>1.5728212649740065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3.3766233259062715E-2</v>
      </c>
      <c r="I903" s="1">
        <f>[1]Services!E$15*I896/SUM(I895:I896)</f>
        <v>0.10131275792915032</v>
      </c>
      <c r="J903" s="1">
        <f>[2]Services!F$15*J896/SUM(J895:J896)</f>
        <v>0.1402881412762344</v>
      </c>
      <c r="K903" s="1">
        <f>[2]Services!G$15*K896/SUM(K895:K896)</f>
        <v>0.62899971581604042</v>
      </c>
      <c r="L903" s="1">
        <f>[2]Services!H$15*L896/SUM(L895:L896)</f>
        <v>1.0788996649683715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1.402382058800276</v>
      </c>
      <c r="G904" s="1">
        <f>[1]Services!C$16</f>
        <v>1.5373125554946594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7.7270878126393789</v>
      </c>
      <c r="G905" s="1">
        <f>[1]Services!C$17</f>
        <v>8.3699013825085071</v>
      </c>
      <c r="H905" s="1">
        <f>[1]Services!D$17</f>
        <v>5.9482898181497221</v>
      </c>
      <c r="I905" s="1">
        <f>[1]Services!E$17</f>
        <v>7.6471325057742057</v>
      </c>
      <c r="J905" s="1">
        <f>[2]Services!F$17</f>
        <v>8.3448122646052489</v>
      </c>
      <c r="K905" s="1">
        <f>[2]Services!G$17</f>
        <v>9.2806551069160488</v>
      </c>
      <c r="L905" s="1">
        <f>[2]Services!H$17</f>
        <v>9.0519105223856542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2.1170162823110847</v>
      </c>
      <c r="G906" s="1">
        <f>[1]Services!C$51/0.99</f>
        <v>2.2931519529473565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1.4242417796526472</v>
      </c>
      <c r="G907" s="1">
        <f t="shared" ref="G907:L907" si="1031">IF(G906-SUM(G908:G911)&lt;0,0,G906-SUM(G908:G911))</f>
        <v>1.553951195986748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0.69277450265843765</v>
      </c>
      <c r="G908" s="1">
        <f t="shared" si="1032"/>
        <v>0.7392007569606085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3.125742423827519E-2</v>
      </c>
      <c r="J911" s="1">
        <f t="shared" si="1037"/>
        <v>5.1164257748086339E-3</v>
      </c>
      <c r="K911" s="1">
        <f t="shared" si="1037"/>
        <v>6.7036550446544965E-3</v>
      </c>
      <c r="L911" s="1">
        <f t="shared" ref="L911" si="1038">L290</f>
        <v>7.9299804502829668E-3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5.6100715303282946</v>
      </c>
      <c r="G912" s="1">
        <f t="shared" ref="G912:K912" si="1039">G905-G906</f>
        <v>6.0767494295611506</v>
      </c>
      <c r="H912" s="1">
        <f t="shared" si="1039"/>
        <v>5.9482898181497221</v>
      </c>
      <c r="I912" s="1">
        <f t="shared" si="1039"/>
        <v>7.6471325057742057</v>
      </c>
      <c r="J912" s="1">
        <f t="shared" si="1039"/>
        <v>8.3448122646052489</v>
      </c>
      <c r="K912" s="1">
        <f t="shared" si="1039"/>
        <v>9.2806551069160488</v>
      </c>
      <c r="L912" s="1">
        <f t="shared" ref="L912" si="1040">L905-L906</f>
        <v>9.0519105223856542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8.5744660242739226</v>
      </c>
      <c r="G913" s="1">
        <f t="shared" ref="G913:L913" si="1041">G914</f>
        <v>7.2610711900694813</v>
      </c>
      <c r="H913" s="1">
        <f t="shared" si="1041"/>
        <v>10.069284452655683</v>
      </c>
      <c r="I913" s="1">
        <f t="shared" si="1041"/>
        <v>9.6060666162982002</v>
      </c>
      <c r="J913" s="1">
        <f t="shared" si="1041"/>
        <v>8.4267767373464171</v>
      </c>
      <c r="K913" s="1">
        <f t="shared" si="1041"/>
        <v>7.0734554788468929</v>
      </c>
      <c r="L913" s="1">
        <f t="shared" si="1041"/>
        <v>4.7508369587386641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8.5744660242739226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7.2610711900694813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10.069284452655683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9.6060666162982002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8.4267767373464171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7.0734554788468929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4.7508369587386641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2.085722942349133</v>
      </c>
      <c r="G915" s="1">
        <f t="shared" ref="G915:L915" si="1042">G916</f>
        <v>2.4001397450892603</v>
      </c>
      <c r="H915" s="1">
        <f t="shared" si="1042"/>
        <v>0.55263559063612044</v>
      </c>
      <c r="I915" s="1">
        <f t="shared" si="1042"/>
        <v>0.71187208479320641</v>
      </c>
      <c r="J915" s="1">
        <f t="shared" si="1042"/>
        <v>0.80003452310482681</v>
      </c>
      <c r="K915" s="1">
        <f t="shared" si="1042"/>
        <v>1.0209142697046476</v>
      </c>
      <c r="L915" s="1">
        <f t="shared" si="1042"/>
        <v>1.0644082415949554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2.085722942349133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2.4001397450892603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0.55263559063612044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0.71187208479320641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0.80003452310482681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1.0209142697046476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1.0644082415949554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0.62710016377056388</v>
      </c>
      <c r="G917" s="1">
        <f t="shared" ref="G917:L917" si="1043">G918</f>
        <v>0.68752506511414369</v>
      </c>
      <c r="H917" s="1">
        <f t="shared" si="1043"/>
        <v>0.55479707708111603</v>
      </c>
      <c r="I917" s="1">
        <f t="shared" si="1043"/>
        <v>0.60815181420141473</v>
      </c>
      <c r="J917" s="1">
        <f t="shared" si="1043"/>
        <v>0.66834242717664782</v>
      </c>
      <c r="K917" s="1">
        <f t="shared" si="1043"/>
        <v>0.75268120180499631</v>
      </c>
      <c r="L917" s="1">
        <f t="shared" si="1043"/>
        <v>0.80337379967798284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0.62710016377056388</v>
      </c>
      <c r="G918" s="1">
        <f>[1]Services!C$19</f>
        <v>0.68752506511414369</v>
      </c>
      <c r="H918" s="1">
        <f>[1]Services!D$19</f>
        <v>0.55479707708111603</v>
      </c>
      <c r="I918" s="1">
        <f>[1]Services!E$19</f>
        <v>0.60815181420141473</v>
      </c>
      <c r="J918" s="1">
        <f>[2]Services!F$19</f>
        <v>0.66834242717664782</v>
      </c>
      <c r="K918" s="1">
        <f>[2]Services!G$19</f>
        <v>0.75268120180499631</v>
      </c>
      <c r="L918" s="1">
        <f>[2]Services!H$19</f>
        <v>0.80337379967798284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3.5412022876040387E-2</v>
      </c>
      <c r="J919" s="1">
        <f>[2]Services!F$20</f>
        <v>4.4218772842051241E-3</v>
      </c>
      <c r="K919" s="1">
        <f>[2]Services!G$20</f>
        <v>4.8338570561837898E-3</v>
      </c>
      <c r="L919" s="1">
        <f>[2]Services!H$20</f>
        <v>5.3679231533594633E-3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3.5412022876040387E-2</v>
      </c>
      <c r="J921" s="1">
        <f t="shared" si="1046"/>
        <v>4.4218772842051241E-3</v>
      </c>
      <c r="K921" s="1">
        <f t="shared" si="1046"/>
        <v>4.8338570561837898E-3</v>
      </c>
      <c r="L921" s="1">
        <f t="shared" si="1046"/>
        <v>5.3679231533594633E-3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3.5412022876040387E-2</v>
      </c>
      <c r="J922" s="1">
        <f>[2]Services!F$20</f>
        <v>4.4218772842051241E-3</v>
      </c>
      <c r="K922" s="1">
        <f>[2]Services!G$20</f>
        <v>4.8338570561837898E-3</v>
      </c>
      <c r="L922" s="1">
        <f>[2]Services!H$20</f>
        <v>5.3679231533594633E-3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2.9299367761031867</v>
      </c>
      <c r="G923" s="1">
        <f t="shared" ref="G923:L923" si="1047">G924</f>
        <v>3.1925912129975891</v>
      </c>
      <c r="H923" s="1">
        <f t="shared" si="1047"/>
        <v>3.0596290523853114</v>
      </c>
      <c r="I923" s="1">
        <f t="shared" si="1047"/>
        <v>5.5788814061219156</v>
      </c>
      <c r="J923" s="1">
        <f t="shared" si="1047"/>
        <v>8.1030854169888133</v>
      </c>
      <c r="K923" s="1">
        <f t="shared" si="1047"/>
        <v>11.308635683397451</v>
      </c>
      <c r="L923" s="1">
        <f t="shared" si="1047"/>
        <v>13.855763302221725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2.9299367761031867</v>
      </c>
      <c r="G924" s="1">
        <f>[1]Services!C$21-G925</f>
        <v>3.1925912129975891</v>
      </c>
      <c r="H924" s="1">
        <f>[1]Services!D$21-H925</f>
        <v>3.0596290523853114</v>
      </c>
      <c r="I924" s="1">
        <f>[1]Services!E$21-I925</f>
        <v>5.5788814061219156</v>
      </c>
      <c r="J924" s="1">
        <f>[2]Services!F$21-J925</f>
        <v>8.1030854169888133</v>
      </c>
      <c r="K924" s="1">
        <f>[2]Services!G$21-K925</f>
        <v>11.308635683397451</v>
      </c>
      <c r="L924" s="1">
        <f>[2]Services!H$21-L925</f>
        <v>13.855763302221725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1.1357205945886539</v>
      </c>
      <c r="I925" s="1">
        <f>[1]Services!E$50-I896</f>
        <v>3.3214134028358466</v>
      </c>
      <c r="J925" s="1">
        <f>[2]Services!F$50-J896</f>
        <v>4.37380359486027</v>
      </c>
      <c r="K925" s="1">
        <f>[2]Services!G$50-K896</f>
        <v>5.7082694747621519</v>
      </c>
      <c r="L925" s="1">
        <f>[2]Services!H$50-L896</f>
        <v>6.3881301042259544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73.239765675392817</v>
      </c>
      <c r="G926" s="17">
        <f>[1]Services!C$59</f>
        <v>78.579259856419995</v>
      </c>
      <c r="H926" s="17">
        <f>[1]Services!D$59</f>
        <v>62.63212379098114</v>
      </c>
      <c r="I926" s="17">
        <f>[1]Services!E$59</f>
        <v>60.945023171262029</v>
      </c>
      <c r="J926" s="17">
        <f>[2]Services!F$59</f>
        <v>60.534985734708215</v>
      </c>
      <c r="K926" s="17">
        <f>[2]Services!G$59</f>
        <v>60.655754673729341</v>
      </c>
      <c r="L926" s="17">
        <f>[2]Services!H$59</f>
        <v>59.478961789334818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63.650795620812865</v>
      </c>
      <c r="G927" s="1">
        <f t="shared" ref="G927:K927" si="1050">SUM(G928:G930)</f>
        <v>63.91020174457195</v>
      </c>
      <c r="H927" s="1">
        <f t="shared" si="1050"/>
        <v>63.734963420372502</v>
      </c>
      <c r="I927" s="1">
        <f t="shared" si="1050"/>
        <v>63.676882580382255</v>
      </c>
      <c r="J927" s="1">
        <f t="shared" si="1050"/>
        <v>65.974196957171898</v>
      </c>
      <c r="K927" s="1">
        <f t="shared" si="1050"/>
        <v>68.731013528804468</v>
      </c>
      <c r="L927" s="1">
        <f t="shared" ref="L927" si="1051">SUM(L928:L930)</f>
        <v>67.808588283456402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2.3942948261139705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0.59042384341414011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0.52198776015302872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0.30401608889524623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0.26779294374924795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0.22212446586049489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0.16175147797878978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4.2617262197864543</v>
      </c>
      <c r="G929" s="1">
        <f>[1]Services!C$47</f>
        <v>4.6178551473715137</v>
      </c>
      <c r="H929" s="1">
        <f>[1]Services!D$47</f>
        <v>4.7411865930509869</v>
      </c>
      <c r="I929" s="1">
        <f>[1]Services!E$47</f>
        <v>8.1724895490911926</v>
      </c>
      <c r="J929" s="1">
        <f>[2]Services!F$47</f>
        <v>11.536065532594449</v>
      </c>
      <c r="K929" s="1">
        <f>[2]Services!G$47</f>
        <v>15.731063987904248</v>
      </c>
      <c r="L929" s="1">
        <f>[2]Services!H$47</f>
        <v>18.718038566242228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58.701922753786299</v>
      </c>
      <c r="H930" s="1">
        <f>[1]Services!D$3-([1]Services!D$6-[1]Services!D$58)</f>
        <v>58.471789067168487</v>
      </c>
      <c r="I930" s="1">
        <f>[1]Services!E$3-([1]Services!E$6-[1]Services!E$58)</f>
        <v>55.20037694239582</v>
      </c>
      <c r="J930" s="1">
        <f>[2]Services!F$3-([2]Services!F$6-[2]Services!F$58)</f>
        <v>54.170338480828207</v>
      </c>
      <c r="K930" s="1">
        <f>[2]Services!G$3-([2]Services!G$6-[2]Services!G$58)</f>
        <v>52.777825075039729</v>
      </c>
      <c r="L930" s="1">
        <f>[2]Services!H$3-([2]Services!H$6-[2]Services!H$58)</f>
        <v>48.928798239235391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24.84310667054552</v>
      </c>
      <c r="G931" s="1">
        <f t="shared" ref="G931:L931" si="1054">G932</f>
        <v>21.225121811907183</v>
      </c>
      <c r="H931" s="1">
        <f t="shared" si="1054"/>
        <v>20.675718559819455</v>
      </c>
      <c r="I931" s="1">
        <f t="shared" si="1054"/>
        <v>12.681970222599137</v>
      </c>
      <c r="J931" s="1">
        <f t="shared" si="1054"/>
        <v>9.6415873763678341</v>
      </c>
      <c r="K931" s="1">
        <f t="shared" si="1054"/>
        <v>5.543718674533042</v>
      </c>
      <c r="L931" s="1">
        <f t="shared" si="1054"/>
        <v>1.0411194178677152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24.84310667054552</v>
      </c>
      <c r="G932" s="1">
        <f>[1]Services!C$48</f>
        <v>21.225121811907183</v>
      </c>
      <c r="H932" s="1">
        <f>[1]Services!D$48</f>
        <v>20.675718559819455</v>
      </c>
      <c r="I932" s="1">
        <f>[1]Services!E$48</f>
        <v>12.681970222599137</v>
      </c>
      <c r="J932" s="1">
        <f>[2]Services!F$48</f>
        <v>9.6415873763678341</v>
      </c>
      <c r="K932" s="1">
        <f>[2]Services!G$48</f>
        <v>5.543718674533042</v>
      </c>
      <c r="L932" s="1">
        <f>[2]Services!H$48</f>
        <v>1.0411194178677152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25.412954675071884</v>
      </c>
      <c r="G933" s="1">
        <f t="shared" ref="G933:K933" si="1055">SUM(G934:G936)</f>
        <v>26.664429741224374</v>
      </c>
      <c r="H933" s="1">
        <f t="shared" si="1055"/>
        <v>21.77089350556809</v>
      </c>
      <c r="I933" s="1">
        <f t="shared" si="1055"/>
        <v>21.202019984368842</v>
      </c>
      <c r="J933" s="1">
        <f t="shared" si="1055"/>
        <v>18.301471136862222</v>
      </c>
      <c r="K933" s="1">
        <f t="shared" si="1055"/>
        <v>16.036719782628946</v>
      </c>
      <c r="L933" s="1">
        <f t="shared" ref="L933" si="1056">SUM(L934:L936)</f>
        <v>13.260568093904737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24.189797043386285</v>
      </c>
      <c r="G934" s="1">
        <f>[1]Services!C$49</f>
        <v>25.32358573032193</v>
      </c>
      <c r="H934" s="1">
        <f>[1]Services!D$49</f>
        <v>19.399026731304602</v>
      </c>
      <c r="I934" s="1">
        <f>[1]Services!E$49</f>
        <v>14.580020031693589</v>
      </c>
      <c r="J934" s="1">
        <f>[2]Services!F$49</f>
        <v>9.7844392380797895</v>
      </c>
      <c r="K934" s="1">
        <f>[2]Services!G$49</f>
        <v>5.188670710179438</v>
      </c>
      <c r="L934" s="1">
        <f>[2]Services!H$49</f>
        <v>1.9558028228232156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2.3718667742634878</v>
      </c>
      <c r="I935" s="1">
        <f>[1]Services!E$50</f>
        <v>6.621999952675254</v>
      </c>
      <c r="J935" s="1">
        <f>[2]Services!F$50</f>
        <v>8.5170318987824327</v>
      </c>
      <c r="K935" s="1">
        <f>[2]Services!G$50</f>
        <v>10.848049072449507</v>
      </c>
      <c r="L935" s="1">
        <f>[2]Services!H$50</f>
        <v>11.304765271081521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1.2231576316855999</v>
      </c>
      <c r="G936" s="1">
        <f>[1]Services!C$56</f>
        <v>1.3408440109024429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7.6498169345129821</v>
      </c>
      <c r="G937" s="1">
        <f t="shared" ref="G937:K937" si="1061">G938+G944</f>
        <v>8.2862023686834299</v>
      </c>
      <c r="H937" s="1">
        <f t="shared" si="1061"/>
        <v>4.8845488682816356</v>
      </c>
      <c r="I937" s="1">
        <f t="shared" si="1061"/>
        <v>6.306409427354704</v>
      </c>
      <c r="J937" s="1">
        <f t="shared" si="1061"/>
        <v>6.8817694338727433</v>
      </c>
      <c r="K937" s="1">
        <f t="shared" si="1061"/>
        <v>7.6535369060350167</v>
      </c>
      <c r="L937" s="1">
        <f t="shared" ref="L937" si="1062">L938+L944</f>
        <v>7.4648966538555781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2.0958461194879741</v>
      </c>
      <c r="G938" s="1">
        <f>[1]Services!C$51</f>
        <v>2.270220433417883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1.4099993618561208</v>
      </c>
      <c r="G939" s="1">
        <f t="shared" ref="G939:K939" si="1063">IFERROR(G907/G$906,0)*G$938</f>
        <v>1.5384116840268807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0.68584675763185332</v>
      </c>
      <c r="G940" s="1">
        <f t="shared" ref="G940:K943" si="1065">IFERROR(G908/G$906,0)*G$938</f>
        <v>0.73180874939100238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5.553970815025008</v>
      </c>
      <c r="G944" s="1">
        <f>[1]Services!C$52</f>
        <v>6.0159819352655468</v>
      </c>
      <c r="H944" s="1">
        <f>[1]Services!D$52</f>
        <v>4.8845488682816356</v>
      </c>
      <c r="I944" s="1">
        <f>[1]Services!E$52</f>
        <v>6.306409427354704</v>
      </c>
      <c r="J944" s="1">
        <f>[2]Services!F$52</f>
        <v>6.8817694338727433</v>
      </c>
      <c r="K944" s="1">
        <f>[2]Services!G$52</f>
        <v>7.6535369060350167</v>
      </c>
      <c r="L944" s="1">
        <f>[2]Services!H$52</f>
        <v>7.4648966538555781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6.1736155374772199</v>
      </c>
      <c r="G945" s="1">
        <f t="shared" ref="G945:L945" si="1070">G946</f>
        <v>5.2279712568500267</v>
      </c>
      <c r="H945" s="1">
        <f t="shared" si="1070"/>
        <v>6.7954740716128024</v>
      </c>
      <c r="I945" s="1">
        <f t="shared" si="1070"/>
        <v>6.5084223188485115</v>
      </c>
      <c r="J945" s="1">
        <f t="shared" si="1070"/>
        <v>5.7094151002706734</v>
      </c>
      <c r="K945" s="1">
        <f t="shared" si="1070"/>
        <v>4.8081762819502858</v>
      </c>
      <c r="L945" s="1">
        <f t="shared" si="1070"/>
        <v>3.3392636510986593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6.1736155374772199</v>
      </c>
      <c r="G946" s="1">
        <f>[1]Services!C$53</f>
        <v>5.2279712568500267</v>
      </c>
      <c r="H946" s="1">
        <f>[1]Services!D$53</f>
        <v>6.7954740716128024</v>
      </c>
      <c r="I946" s="1">
        <f>[1]Services!E$53</f>
        <v>6.5084223188485115</v>
      </c>
      <c r="J946" s="1">
        <f>[2]Services!F$53</f>
        <v>5.7094151002706734</v>
      </c>
      <c r="K946" s="1">
        <f>[2]Services!G$53</f>
        <v>4.8081762819502858</v>
      </c>
      <c r="L946" s="1">
        <f>[2]Services!H$53</f>
        <v>3.3392636510986593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1.8771506481142195</v>
      </c>
      <c r="G947" s="1">
        <f t="shared" ref="G947:L947" si="1071">G948</f>
        <v>2.1601257705803349</v>
      </c>
      <c r="H947" s="1">
        <f t="shared" si="1071"/>
        <v>0.36389940041924101</v>
      </c>
      <c r="I947" s="1">
        <f t="shared" si="1071"/>
        <v>0.47075826318942304</v>
      </c>
      <c r="J947" s="1">
        <f t="shared" si="1071"/>
        <v>0.53234852514880171</v>
      </c>
      <c r="K947" s="1">
        <f t="shared" si="1071"/>
        <v>0.69022348466093519</v>
      </c>
      <c r="L947" s="1">
        <f t="shared" si="1071"/>
        <v>0.7260462576857678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1.8771506481142195</v>
      </c>
      <c r="G948" s="1">
        <f>[1]Services!C$54</f>
        <v>2.1601257705803349</v>
      </c>
      <c r="H948" s="1">
        <f>[1]Services!D$54</f>
        <v>0.36389940041924101</v>
      </c>
      <c r="I948" s="1">
        <f>[1]Services!E$54</f>
        <v>0.47075826318942304</v>
      </c>
      <c r="J948" s="1">
        <f>[2]Services!F$54</f>
        <v>0.53234852514880171</v>
      </c>
      <c r="K948" s="1">
        <f>[2]Services!G$54</f>
        <v>0.69022348466093519</v>
      </c>
      <c r="L948" s="1">
        <f>[2]Services!H$54</f>
        <v>0.7260462576857678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0.62710016377056388</v>
      </c>
      <c r="G949" s="1">
        <f t="shared" ref="G949:L949" si="1072">G950</f>
        <v>0.68752506511414369</v>
      </c>
      <c r="H949" s="1">
        <f t="shared" si="1072"/>
        <v>0.55479707708111603</v>
      </c>
      <c r="I949" s="1">
        <f t="shared" si="1072"/>
        <v>0.60815181420141473</v>
      </c>
      <c r="J949" s="1">
        <f t="shared" si="1072"/>
        <v>0.66834242717664782</v>
      </c>
      <c r="K949" s="1">
        <f t="shared" si="1072"/>
        <v>0.75268120180499631</v>
      </c>
      <c r="L949" s="1">
        <f t="shared" si="1072"/>
        <v>0.80337379967798284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0.62710016377056388</v>
      </c>
      <c r="G950" s="1">
        <f>[1]Services!C$55</f>
        <v>0.68752506511414369</v>
      </c>
      <c r="H950" s="1">
        <f>[1]Services!D$55</f>
        <v>0.55479707708111603</v>
      </c>
      <c r="I950" s="1">
        <f>[1]Services!E$55</f>
        <v>0.60815181420141473</v>
      </c>
      <c r="J950" s="1">
        <f>[2]Services!F$55</f>
        <v>0.66834242717664782</v>
      </c>
      <c r="K950" s="1">
        <f>[2]Services!G$55</f>
        <v>0.75268120180499631</v>
      </c>
      <c r="L950" s="1">
        <f>[2]Services!H$55</f>
        <v>0.80337379967798284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9.1196048512748433</v>
      </c>
      <c r="H953" s="1">
        <f>[1]Services!D$58</f>
        <v>2.3236179549947895</v>
      </c>
      <c r="I953" s="1">
        <f>[1]Services!E$58</f>
        <v>4.6907855027135685</v>
      </c>
      <c r="J953" s="1">
        <f>[2]Services!F$58</f>
        <v>6.9961932586655911</v>
      </c>
      <c r="K953" s="1">
        <f>[2]Services!G$58</f>
        <v>9.217509888351378</v>
      </c>
      <c r="L953" s="1">
        <f>[2]Services!H$58</f>
        <v>13.96390387102336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0.91250000000000075</v>
      </c>
      <c r="G955" s="4">
        <f t="shared" si="1076"/>
        <v>0.91500000000000004</v>
      </c>
      <c r="H955" s="4">
        <f t="shared" si="1076"/>
        <v>0.47261455943062147</v>
      </c>
      <c r="I955" s="4">
        <f t="shared" si="1076"/>
        <v>0.4944897373957215</v>
      </c>
      <c r="J955" s="4">
        <f t="shared" si="1076"/>
        <v>0.50051514075745318</v>
      </c>
      <c r="K955" s="4">
        <f t="shared" si="1076"/>
        <v>0.50780527863331226</v>
      </c>
      <c r="L955" s="4">
        <f t="shared" ref="L955" si="1077">IFERROR(L928/L884,"-")</f>
        <v>0.53049952948768608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3.1999999999999988</v>
      </c>
      <c r="G956" s="4">
        <f t="shared" si="1076"/>
        <v>3.2399999999999984</v>
      </c>
      <c r="H956" s="4">
        <f t="shared" si="1076"/>
        <v>2.8195208777536691</v>
      </c>
      <c r="I956" s="4">
        <f t="shared" si="1076"/>
        <v>3.1510116789404301</v>
      </c>
      <c r="J956" s="4">
        <f t="shared" si="1076"/>
        <v>3.3603647979648392</v>
      </c>
      <c r="K956" s="4">
        <f t="shared" si="1076"/>
        <v>3.5571100094201791</v>
      </c>
      <c r="L956" s="4">
        <f t="shared" ref="L956" si="1078">IFERROR(L929/L885,"-")</f>
        <v>3.849646009297448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1.0000000000000002</v>
      </c>
      <c r="J957" s="4">
        <f t="shared" si="1076"/>
        <v>1</v>
      </c>
      <c r="K957" s="4">
        <f t="shared" si="1076"/>
        <v>1</v>
      </c>
      <c r="L957" s="4">
        <f t="shared" ref="L957" si="1079">IFERROR(L930/L886,"-")</f>
        <v>1.0000000000000002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0.82107843137254843</v>
      </c>
      <c r="G958" s="4">
        <f t="shared" si="1080"/>
        <v>0.82270432925645509</v>
      </c>
      <c r="H958" s="4">
        <f t="shared" si="1080"/>
        <v>0.79174078597033548</v>
      </c>
      <c r="I958" s="4">
        <f t="shared" si="1080"/>
        <v>0.81875684615449917</v>
      </c>
      <c r="J958" s="4">
        <f t="shared" si="1080"/>
        <v>0.81875684615449895</v>
      </c>
      <c r="K958" s="4">
        <f t="shared" si="1080"/>
        <v>0.81875684615449906</v>
      </c>
      <c r="L958" s="4">
        <f t="shared" ref="L958" si="1081">IFERROR(L932/L888,"-")</f>
        <v>0.81875684615449906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0.94680851063829952</v>
      </c>
      <c r="G959" s="4">
        <f t="shared" si="1082"/>
        <v>0.94680851063829807</v>
      </c>
      <c r="H959" s="4">
        <f t="shared" si="1082"/>
        <v>0.80929722563447115</v>
      </c>
      <c r="I959" s="4">
        <f t="shared" si="1082"/>
        <v>0.72592844916180754</v>
      </c>
      <c r="J959" s="4">
        <f t="shared" si="1082"/>
        <v>0.63427769577828297</v>
      </c>
      <c r="K959" s="4">
        <f t="shared" si="1082"/>
        <v>0.46658256668517695</v>
      </c>
      <c r="L959" s="4">
        <f t="shared" ref="L959" si="1083">IFERROR(L934/L895,"-")</f>
        <v>0.27287187265983737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1.9187591348519988</v>
      </c>
      <c r="I960" s="4">
        <f t="shared" si="1082"/>
        <v>2.0063100460121102</v>
      </c>
      <c r="J960" s="4">
        <f t="shared" si="1082"/>
        <v>2.0556511188919604</v>
      </c>
      <c r="K960" s="4">
        <f t="shared" si="1082"/>
        <v>2.1106058861610699</v>
      </c>
      <c r="L960" s="4">
        <f t="shared" ref="L960" si="1084">IFERROR(L935/L896,"-")</f>
        <v>2.2992890233731704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0.87219999999999942</v>
      </c>
      <c r="G961" s="4">
        <f t="shared" si="1082"/>
        <v>0.87220000000000064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0.9900000000000001</v>
      </c>
      <c r="G962" s="4">
        <f t="shared" si="1086"/>
        <v>0.9900000000000001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0.9900000000000001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>
        <f t="shared" si="1086"/>
        <v>0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0.98999999999999932</v>
      </c>
      <c r="G967" s="4">
        <f t="shared" si="1086"/>
        <v>0.99000000000000132</v>
      </c>
      <c r="H967" s="4">
        <f t="shared" si="1086"/>
        <v>0.82116860771942446</v>
      </c>
      <c r="I967" s="4">
        <f t="shared" si="1086"/>
        <v>0.82467636366871544</v>
      </c>
      <c r="J967" s="4">
        <f t="shared" si="1086"/>
        <v>0.824676363668714</v>
      </c>
      <c r="K967" s="4">
        <f t="shared" si="1086"/>
        <v>0.824676363668715</v>
      </c>
      <c r="L967" s="4">
        <f t="shared" ref="L967" si="1092">IFERROR(L944/L912,"-")</f>
        <v>0.82467636366871477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0.71999999999999953</v>
      </c>
      <c r="G968" s="4">
        <f t="shared" si="1093"/>
        <v>0.72</v>
      </c>
      <c r="H968" s="4">
        <f t="shared" si="1093"/>
        <v>0.67487159624540716</v>
      </c>
      <c r="I968" s="4">
        <f t="shared" si="1093"/>
        <v>0.67753249886961553</v>
      </c>
      <c r="J968" s="4">
        <f t="shared" si="1093"/>
        <v>0.67753249886961664</v>
      </c>
      <c r="K968" s="4">
        <f t="shared" si="1093"/>
        <v>0.67974928185087125</v>
      </c>
      <c r="L968" s="4">
        <f t="shared" ref="L968" si="1094">IFERROR(L946/L913,"-")</f>
        <v>0.70287902533814295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0.89999999999999991</v>
      </c>
      <c r="G969" s="4">
        <f t="shared" si="1095"/>
        <v>0.90000000000000024</v>
      </c>
      <c r="H969" s="4">
        <f t="shared" si="1095"/>
        <v>0.65847984926263714</v>
      </c>
      <c r="I969" s="4">
        <f t="shared" si="1095"/>
        <v>0.66129614188506192</v>
      </c>
      <c r="J969" s="4">
        <f t="shared" si="1095"/>
        <v>0.66540694154400792</v>
      </c>
      <c r="K969" s="4">
        <f t="shared" si="1095"/>
        <v>0.67608368806581387</v>
      </c>
      <c r="L969" s="4">
        <f t="shared" ref="L969" si="1096">IFERROR(L948/L916,"-")</f>
        <v>0.68211258548489695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>
        <f t="shared" si="1099"/>
        <v>0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219.63038989360444</v>
      </c>
      <c r="G972" s="3">
        <f>[1]Residential!C$26</f>
        <v>218.95224995715466</v>
      </c>
      <c r="H972" s="3">
        <f>[1]Residential!D$26</f>
        <v>219.68116153295054</v>
      </c>
      <c r="I972" s="3">
        <f>[1]Residential!E$26</f>
        <v>200.42837558919013</v>
      </c>
      <c r="J972" s="3">
        <f>[2]Residential!F$26</f>
        <v>192.79304809798322</v>
      </c>
      <c r="K972" s="3">
        <f>[2]Residential!G$26</f>
        <v>184.96511120023058</v>
      </c>
      <c r="L972" s="3">
        <f>[2]Residential!H$26</f>
        <v>168.42990405431655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69.47152815723193</v>
      </c>
      <c r="G973" s="1">
        <f>[1]Residential!C$15</f>
        <v>70.027173866662793</v>
      </c>
      <c r="H973" s="1">
        <f>[1]Residential!D$15</f>
        <v>69.810715902254827</v>
      </c>
      <c r="I973" s="1">
        <f>[1]Residential!E$15</f>
        <v>67.72791955081351</v>
      </c>
      <c r="J973" s="1">
        <f>[2]Residential!F$15</f>
        <v>68.828640951687248</v>
      </c>
      <c r="K973" s="1">
        <f>[2]Residential!G$15</f>
        <v>68.892590131483871</v>
      </c>
      <c r="L973" s="1">
        <f>[2]Residential!H$15</f>
        <v>63.898649906900992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15.334068507343424</v>
      </c>
      <c r="G974" s="1">
        <f t="shared" ref="G974:K974" si="1101">SUM(G975:G976)</f>
        <v>15.080545233078304</v>
      </c>
      <c r="H974" s="1">
        <f t="shared" si="1101"/>
        <v>11.616144837946356</v>
      </c>
      <c r="I974" s="1">
        <f t="shared" si="1101"/>
        <v>13.106523137016126</v>
      </c>
      <c r="J974" s="1">
        <f t="shared" si="1101"/>
        <v>13.952957410014818</v>
      </c>
      <c r="K974" s="1">
        <f t="shared" si="1101"/>
        <v>15.087473299501397</v>
      </c>
      <c r="L974" s="1">
        <f t="shared" ref="L974" si="1102">SUM(L975:L976)</f>
        <v>13.854780567406383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9.3774394628635314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8.2904275599261368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0.90374634333638082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0.22914972928692831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3.2458148327630602E-2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2.0793613208555731E-2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1.8273347318867861E-2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5.9566290444798931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6.7901176731521682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10.712398494609975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12.877373407729197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13.920499261687187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15.066679686292842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13.836507220087515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9.5605052033487077</v>
      </c>
      <c r="G977" s="1">
        <f t="shared" ref="G977:K977" si="1106">SUM(G978:G979)</f>
        <v>10.085416610964417</v>
      </c>
      <c r="H977" s="1">
        <f t="shared" si="1106"/>
        <v>8.6711367125047367</v>
      </c>
      <c r="I977" s="1">
        <f t="shared" si="1106"/>
        <v>7.7012756178446233</v>
      </c>
      <c r="J977" s="1">
        <f t="shared" si="1106"/>
        <v>8.1036036892935766</v>
      </c>
      <c r="K977" s="1">
        <f t="shared" si="1106"/>
        <v>8.6093152926269774</v>
      </c>
      <c r="L977" s="1">
        <f t="shared" ref="L977" si="1107">SUM(L978:L979)</f>
        <v>8.5832504516855952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8.4114432546920828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8.7989361459092343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6.0594201068162699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4.1402415107855282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3.7521221447788835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3.3787416656177447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2.860120820985943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1.1490619486566245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1.2864804650551829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2.611716605688466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3.5610341070590952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4.3514815445146935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5.2305736270092336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5.7231296306996526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44.576954446539794</v>
      </c>
      <c r="G980" s="1">
        <f>[1]Residential!C$3-([1]Residential!C$10-[1]Residential!C$244)</f>
        <v>44.86121202262008</v>
      </c>
      <c r="H980" s="1">
        <f>[1]Residential!D$3-([1]Residential!D$10-[1]Residential!D$244)</f>
        <v>49.523434351803729</v>
      </c>
      <c r="I980" s="1">
        <f>[1]Residential!E$3-([1]Residential!E$10-[1]Residential!E$244)</f>
        <v>46.920120795952762</v>
      </c>
      <c r="J980" s="1">
        <f>[2]Residential!F$3-([2]Residential!F$10-[2]Residential!F$244)</f>
        <v>46.772079852378852</v>
      </c>
      <c r="K980" s="1">
        <f>[2]Residential!G$3-([2]Residential!G$10-[2]Residential!G$244)</f>
        <v>45.1958015393555</v>
      </c>
      <c r="L980" s="1">
        <f>[2]Residential!H$3-([2]Residential!H$10-[2]Residential!H$244)</f>
        <v>41.460618887809012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60.232445624915954</v>
      </c>
      <c r="G981" s="1">
        <f>SUM([1]Residential!C$16:C$17)</f>
        <v>51.320629800815716</v>
      </c>
      <c r="H981" s="1">
        <f>SUM([1]Residential!D$16:D$17)</f>
        <v>49.446888836138271</v>
      </c>
      <c r="I981" s="1">
        <f>SUM([1]Residential!E$16:E$17)</f>
        <v>24.337691069186448</v>
      </c>
      <c r="J981" s="1">
        <f>SUM([2]Residential!F$16:F$17)</f>
        <v>16.101916557575574</v>
      </c>
      <c r="K981" s="1">
        <f>SUM([2]Residential!G$16:G$17)</f>
        <v>6.7970121400452328</v>
      </c>
      <c r="L981" s="1">
        <f>SUM([2]Residential!H$16:H$17)</f>
        <v>1.0427230731347663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60.232445624915954</v>
      </c>
      <c r="G982" s="1">
        <f>[1]Residential!C$16</f>
        <v>51.320629800815716</v>
      </c>
      <c r="H982" s="1">
        <f>[1]Residential!D$16</f>
        <v>49.44595041940957</v>
      </c>
      <c r="I982" s="1">
        <f>[1]Residential!E$16</f>
        <v>24.330288031316716</v>
      </c>
      <c r="J982" s="1">
        <f>[2]Residential!F$16</f>
        <v>16.100393493633504</v>
      </c>
      <c r="K982" s="1">
        <f>[2]Residential!G$16</f>
        <v>6.7959398776098192</v>
      </c>
      <c r="L982" s="1">
        <f>[2]Residential!H$16</f>
        <v>1.0805248374505385E-5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9.3841672870306422E-4</v>
      </c>
      <c r="I983" s="1">
        <f>[1]Residential!E$17</f>
        <v>7.4030378697324548E-3</v>
      </c>
      <c r="J983" s="1">
        <f>[2]Residential!F$17</f>
        <v>1.5230639420714695E-3</v>
      </c>
      <c r="K983" s="1">
        <f>[2]Residential!G$17</f>
        <v>1.0722624354135249E-3</v>
      </c>
      <c r="L983" s="1">
        <f>[2]Residential!H$17</f>
        <v>1.0427122678863918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50.371794362093439</v>
      </c>
      <c r="G984" s="1">
        <f t="shared" ref="G984:K984" si="1110">SUM(G986,G988)</f>
        <v>43.127789614732549</v>
      </c>
      <c r="H984" s="1">
        <f t="shared" si="1110"/>
        <v>40.515797971487537</v>
      </c>
      <c r="I984" s="1">
        <f t="shared" si="1110"/>
        <v>20.390622859052478</v>
      </c>
      <c r="J984" s="1">
        <f t="shared" si="1110"/>
        <v>13.344052305648786</v>
      </c>
      <c r="K984" s="1">
        <f t="shared" si="1110"/>
        <v>5.2732745466733055</v>
      </c>
      <c r="L984" s="1">
        <f t="shared" ref="L984" si="1111">SUM(L986,L988)</f>
        <v>0.81175209728868181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50.371794362093439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43.127789614732549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40.515797971487537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20.390622859052478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13.344052305648786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5.2732745466733055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0.81175209728868181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50.371794362093439</v>
      </c>
      <c r="G986" s="1">
        <f t="shared" ref="G986:L986" si="1112">G987</f>
        <v>43.127789614732549</v>
      </c>
      <c r="H986" s="1">
        <f t="shared" si="1112"/>
        <v>40.515029051470769</v>
      </c>
      <c r="I986" s="1">
        <f t="shared" si="1112"/>
        <v>20.384420440228777</v>
      </c>
      <c r="J986" s="1">
        <f t="shared" si="1112"/>
        <v>13.342790105286788</v>
      </c>
      <c r="K986" s="1">
        <f t="shared" si="1112"/>
        <v>5.2724426614137947</v>
      </c>
      <c r="L986" s="1">
        <f t="shared" si="1112"/>
        <v>8.4118048748655984E-6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50.371794362093439</v>
      </c>
      <c r="G987" s="1">
        <f t="shared" ref="G987:K987" si="1113">G985*IFERROR(G982/G981,0)</f>
        <v>43.127789614732549</v>
      </c>
      <c r="H987" s="1">
        <f t="shared" si="1113"/>
        <v>40.515029051470769</v>
      </c>
      <c r="I987" s="1">
        <f t="shared" si="1113"/>
        <v>20.384420440228777</v>
      </c>
      <c r="J987" s="1">
        <f t="shared" si="1113"/>
        <v>13.342790105286788</v>
      </c>
      <c r="K987" s="1">
        <f t="shared" si="1113"/>
        <v>5.2724426614137947</v>
      </c>
      <c r="L987" s="1">
        <f t="shared" ref="L987" si="1114">L985*IFERROR(L982/L981,0)</f>
        <v>8.4118048748655984E-6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7.6892001676753807E-4</v>
      </c>
      <c r="I988" s="1">
        <f t="shared" si="1115"/>
        <v>6.2024188237010947E-3</v>
      </c>
      <c r="J988" s="1">
        <f t="shared" si="1115"/>
        <v>1.2622003619977562E-3</v>
      </c>
      <c r="K988" s="1">
        <f t="shared" si="1115"/>
        <v>8.3188525951083392E-4</v>
      </c>
      <c r="L988" s="1">
        <f t="shared" si="1115"/>
        <v>0.81174368548380693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7.6892001676753807E-4</v>
      </c>
      <c r="I989" s="1">
        <f t="shared" si="1116"/>
        <v>6.2024188237010947E-3</v>
      </c>
      <c r="J989" s="1">
        <f t="shared" si="1116"/>
        <v>1.2622003619977562E-3</v>
      </c>
      <c r="K989" s="1">
        <f t="shared" si="1116"/>
        <v>8.3188525951083392E-4</v>
      </c>
      <c r="L989" s="1">
        <f t="shared" ref="L989" si="1117">L985-L987</f>
        <v>0.81174368548380693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9.8606512628225165</v>
      </c>
      <c r="G990" s="1">
        <f t="shared" ref="G990:L990" si="1118">G991</f>
        <v>8.1928401860831652</v>
      </c>
      <c r="H990" s="1">
        <f t="shared" si="1118"/>
        <v>8.9310908646507343</v>
      </c>
      <c r="I990" s="1">
        <f t="shared" si="1118"/>
        <v>3.9470682101339736</v>
      </c>
      <c r="J990" s="1">
        <f t="shared" si="1118"/>
        <v>2.7578642519267897</v>
      </c>
      <c r="K990" s="1">
        <f t="shared" si="1118"/>
        <v>1.5237375933719273</v>
      </c>
      <c r="L990" s="1">
        <f t="shared" si="1118"/>
        <v>0.23097097584608453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9.8606512628225165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8.1928401860831652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8.9310908646507343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3.9470682101339736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2.7578642519267897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1.5237375933719273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0.23097097584608453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9.8606512628225165</v>
      </c>
      <c r="G992" s="1">
        <f t="shared" ref="G992:K992" si="1119">IFERROR(G982/G981,0)*G991</f>
        <v>8.1928401860831652</v>
      </c>
      <c r="H992" s="1">
        <f t="shared" si="1119"/>
        <v>8.9309213679388044</v>
      </c>
      <c r="I992" s="1">
        <f t="shared" si="1119"/>
        <v>3.9458675910879446</v>
      </c>
      <c r="J992" s="1">
        <f t="shared" si="1119"/>
        <v>2.7576033883467175</v>
      </c>
      <c r="K992" s="1">
        <f t="shared" si="1119"/>
        <v>1.5234972161960245</v>
      </c>
      <c r="L992" s="1">
        <f t="shared" ref="L992" si="1120">IFERROR(L982/L981,0)*L991</f>
        <v>2.3934434996397858E-6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1.6949671192989513E-4</v>
      </c>
      <c r="I993" s="1">
        <f t="shared" si="1121"/>
        <v>1.2006190460289723E-3</v>
      </c>
      <c r="J993" s="1">
        <f t="shared" si="1121"/>
        <v>2.6086358007226806E-4</v>
      </c>
      <c r="K993" s="1">
        <f t="shared" si="1121"/>
        <v>2.4037717590275065E-4</v>
      </c>
      <c r="L993" s="1">
        <f t="shared" ref="L993" si="1122">L991-L992</f>
        <v>0.23096858240258489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47.002426676525374</v>
      </c>
      <c r="G994" s="1">
        <f t="shared" ref="G994:K994" si="1123">SUM(G995:G996)</f>
        <v>48.174901284785975</v>
      </c>
      <c r="H994" s="1">
        <f t="shared" si="1123"/>
        <v>47.0731528004181</v>
      </c>
      <c r="I994" s="1">
        <f t="shared" si="1123"/>
        <v>39.059686485225733</v>
      </c>
      <c r="J994" s="1">
        <f t="shared" si="1123"/>
        <v>30.559208825548986</v>
      </c>
      <c r="K994" s="1">
        <f t="shared" si="1123"/>
        <v>22.10584184673225</v>
      </c>
      <c r="L994" s="1">
        <f t="shared" ref="L994" si="1124">SUM(L995:L996)</f>
        <v>15.192090418537298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46.704322034994128</v>
      </c>
      <c r="G995" s="1">
        <f>[1]Residential!C$18</f>
        <v>45.938221712672899</v>
      </c>
      <c r="H995" s="1">
        <f>[1]Residential!D$18</f>
        <v>46.20998776189316</v>
      </c>
      <c r="I995" s="1">
        <f>[1]Residential!E$18</f>
        <v>38.100277450168925</v>
      </c>
      <c r="J995" s="1">
        <f>[2]Residential!F$18</f>
        <v>29.635408945220831</v>
      </c>
      <c r="K995" s="1">
        <f>[2]Residential!G$18</f>
        <v>18.064560915160314</v>
      </c>
      <c r="L995" s="1">
        <f>[2]Residential!H$18</f>
        <v>11.058184400574648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0.29810464153124322</v>
      </c>
      <c r="G996" s="1">
        <f>[1]Residential!C$19</f>
        <v>2.2366795721130726</v>
      </c>
      <c r="H996" s="1">
        <f>[1]Residential!D$19</f>
        <v>0.86316503852493776</v>
      </c>
      <c r="I996" s="1">
        <f>[1]Residential!E$19</f>
        <v>0.95940903505680564</v>
      </c>
      <c r="J996" s="1">
        <f>[2]Residential!F$19</f>
        <v>0.92379988032815563</v>
      </c>
      <c r="K996" s="1">
        <f>[2]Residential!G$19</f>
        <v>4.0412809315719356</v>
      </c>
      <c r="L996" s="1">
        <f>[2]Residential!H$19</f>
        <v>4.1339060179626497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38.494989678550937</v>
      </c>
      <c r="G997" s="1">
        <f t="shared" ref="G997:K997" si="1127">SUM(G998:G999)</f>
        <v>41.231089967808501</v>
      </c>
      <c r="H997" s="1">
        <f t="shared" si="1127"/>
        <v>36.682462971984215</v>
      </c>
      <c r="I997" s="1">
        <f t="shared" si="1127"/>
        <v>31.470081413763374</v>
      </c>
      <c r="J997" s="1">
        <f t="shared" si="1127"/>
        <v>24.38135176186492</v>
      </c>
      <c r="K997" s="1">
        <f t="shared" si="1127"/>
        <v>17.174338315224738</v>
      </c>
      <c r="L997" s="1">
        <f t="shared" ref="L997" si="1128">SUM(L998:L999)</f>
        <v>11.870848861851691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38.494989678550937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41.231089967808501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33.913283331973275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24.405497805047055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15.740824388431831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6.900774983273628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2.6562550680278569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2.7691796400109427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7.0645836087163207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8.6405273734330876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10.273563331951109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9.214593793823834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38.250841962990442</v>
      </c>
      <c r="G1000" s="1">
        <f t="shared" ref="G1000:K1000" si="1129">SUM(G1001:G1002)</f>
        <v>39.316799866376002</v>
      </c>
      <c r="H1000" s="1">
        <f t="shared" si="1129"/>
        <v>36.0098286213885</v>
      </c>
      <c r="I1000" s="1">
        <f t="shared" si="1129"/>
        <v>30.697093119201462</v>
      </c>
      <c r="J1000" s="1">
        <f t="shared" si="1129"/>
        <v>23.64430748927175</v>
      </c>
      <c r="K1000" s="1">
        <f t="shared" si="1129"/>
        <v>14.034610526213035</v>
      </c>
      <c r="L1000" s="1">
        <f t="shared" ref="L1000" si="1130">SUM(L1001:L1002)</f>
        <v>8.6406828875592243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38.250841962990442</v>
      </c>
      <c r="G1001" s="1">
        <f t="shared" ref="G1001:K1001" si="1131">G998-G1004</f>
        <v>39.316799866376002</v>
      </c>
      <c r="H1001" s="1">
        <f t="shared" si="1131"/>
        <v>33.291426524593895</v>
      </c>
      <c r="I1001" s="1">
        <f t="shared" si="1131"/>
        <v>23.806034337564341</v>
      </c>
      <c r="J1001" s="1">
        <f t="shared" si="1131"/>
        <v>15.26498184390422</v>
      </c>
      <c r="K1001" s="1">
        <f t="shared" si="1131"/>
        <v>5.6392093506987777</v>
      </c>
      <c r="L1001" s="1">
        <f t="shared" ref="L1001" si="1132">L998-L1004</f>
        <v>1.9334638978564662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2.7184020967946045</v>
      </c>
      <c r="I1002" s="1">
        <f t="shared" si="1133"/>
        <v>6.8910587816371187</v>
      </c>
      <c r="J1002" s="1">
        <f t="shared" si="1133"/>
        <v>8.3793256453675298</v>
      </c>
      <c r="K1002" s="1">
        <f t="shared" si="1133"/>
        <v>8.395401175514257</v>
      </c>
      <c r="L1002" s="1">
        <f t="shared" ref="L1002" si="1134">L999-L1005</f>
        <v>6.7072189897027581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0.24414771556049492</v>
      </c>
      <c r="G1003" s="1">
        <f t="shared" ref="G1003:K1003" si="1135">SUM(G1004:G1005)</f>
        <v>1.9142901014324978</v>
      </c>
      <c r="H1003" s="1">
        <f t="shared" si="1135"/>
        <v>0.67263435059572063</v>
      </c>
      <c r="I1003" s="1">
        <f t="shared" si="1135"/>
        <v>0.77298829456191798</v>
      </c>
      <c r="J1003" s="1">
        <f t="shared" si="1135"/>
        <v>0.73704427259316818</v>
      </c>
      <c r="K1003" s="1">
        <f t="shared" si="1135"/>
        <v>3.1397277890117028</v>
      </c>
      <c r="L1003" s="1">
        <f t="shared" ref="L1003" si="1136">SUM(L1004:L1005)</f>
        <v>3.2301659742924667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0.24414771556049492</v>
      </c>
      <c r="G1004" s="1">
        <f t="shared" ref="G1004:K1004" si="1137">G998*IFERROR(G996/G994,0)</f>
        <v>1.9142901014324978</v>
      </c>
      <c r="H1004" s="1">
        <f t="shared" si="1137"/>
        <v>0.62185680737938254</v>
      </c>
      <c r="I1004" s="1">
        <f t="shared" si="1137"/>
        <v>0.59946346748271562</v>
      </c>
      <c r="J1004" s="1">
        <f t="shared" si="1137"/>
        <v>0.47584254452761043</v>
      </c>
      <c r="K1004" s="1">
        <f t="shared" si="1137"/>
        <v>1.2615656325748499</v>
      </c>
      <c r="L1004" s="1">
        <f t="shared" ref="L1004" si="1138">L998*IFERROR(L996/L994,0)</f>
        <v>0.72279117017139061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5.0777543216338136E-2</v>
      </c>
      <c r="I1005" s="1">
        <f t="shared" si="1139"/>
        <v>0.1735248270792023</v>
      </c>
      <c r="J1005" s="1">
        <f t="shared" si="1139"/>
        <v>0.26120172806555775</v>
      </c>
      <c r="K1005" s="1">
        <f t="shared" si="1139"/>
        <v>1.8781621564368527</v>
      </c>
      <c r="L1005" s="1">
        <f t="shared" ref="L1005" si="1140">L999*IFERROR(L$996/L$994,0)</f>
        <v>2.5073748041210759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8.5074369979744375</v>
      </c>
      <c r="G1006" s="1">
        <f t="shared" ref="G1006:K1006" si="1141">SUM(G1007:G1008)</f>
        <v>6.9438113169774738</v>
      </c>
      <c r="H1006" s="1">
        <f t="shared" si="1141"/>
        <v>10.390689828433882</v>
      </c>
      <c r="I1006" s="1">
        <f t="shared" si="1141"/>
        <v>7.5896050714623566</v>
      </c>
      <c r="J1006" s="1">
        <f t="shared" si="1141"/>
        <v>6.1778570636840673</v>
      </c>
      <c r="K1006" s="1">
        <f t="shared" si="1141"/>
        <v>4.9315035315075129</v>
      </c>
      <c r="L1006" s="1">
        <f t="shared" ref="L1006" si="1142">SUM(L1007:L1008)</f>
        <v>3.3212415566856066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8.5074369979744375</v>
      </c>
      <c r="G1007" s="1">
        <f t="shared" ref="G1007:K1007" si="1143">G994-G998-G999-G1008</f>
        <v>6.9438113169774738</v>
      </c>
      <c r="H1007" s="1">
        <f t="shared" si="1143"/>
        <v>9.8500182622343644</v>
      </c>
      <c r="I1007" s="1">
        <f t="shared" si="1143"/>
        <v>6.1687187629131479</v>
      </c>
      <c r="J1007" s="1">
        <f t="shared" si="1143"/>
        <v>4.2986775837750688</v>
      </c>
      <c r="K1007" s="1">
        <f t="shared" si="1143"/>
        <v>2.6022217593088772</v>
      </c>
      <c r="L1007" s="1">
        <f t="shared" ref="L1007" si="1144">L994-L998-L999-L1008</f>
        <v>1.1673713064977207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0.54067156619951751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1.4208863085492085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1.879179479908998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2.3292817721986356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2.1538702501878859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8.4534800720036891</v>
      </c>
      <c r="G1009" s="1">
        <f t="shared" ref="G1009:K1009" si="1145">SUM(G1010:G1011)</f>
        <v>6.621421846296899</v>
      </c>
      <c r="H1009" s="1">
        <f t="shared" si="1145"/>
        <v>10.200159140504665</v>
      </c>
      <c r="I1009" s="1">
        <f t="shared" si="1145"/>
        <v>7.403184330967469</v>
      </c>
      <c r="J1009" s="1">
        <f t="shared" si="1145"/>
        <v>5.9911014559490789</v>
      </c>
      <c r="K1009" s="1">
        <f t="shared" si="1145"/>
        <v>4.0299503889472792</v>
      </c>
      <c r="L1009" s="1">
        <f t="shared" ref="L1009" si="1146">SUM(L1010:L1011)</f>
        <v>2.4175015130154236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8.4534800720036891</v>
      </c>
      <c r="G1010" s="1">
        <f t="shared" ref="G1010:K1010" si="1147">G1007-G1013</f>
        <v>6.621421846296899</v>
      </c>
      <c r="H1010" s="1">
        <f t="shared" si="1147"/>
        <v>9.6694016923428023</v>
      </c>
      <c r="I1010" s="1">
        <f t="shared" si="1147"/>
        <v>6.0171987419293158</v>
      </c>
      <c r="J1010" s="1">
        <f t="shared" si="1147"/>
        <v>4.1687292641006177</v>
      </c>
      <c r="K1010" s="1">
        <f t="shared" si="1147"/>
        <v>2.1264964171785077</v>
      </c>
      <c r="L1010" s="1">
        <f t="shared" ref="L1010" si="1148">L1007-L1013</f>
        <v>0.8497189534522549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0.53075744816186188</v>
      </c>
      <c r="I1011" s="1">
        <f t="shared" si="1149"/>
        <v>1.3859855890381532</v>
      </c>
      <c r="J1011" s="1">
        <f t="shared" si="1149"/>
        <v>1.8223721918484612</v>
      </c>
      <c r="K1011" s="1">
        <f t="shared" si="1149"/>
        <v>1.903453971768772</v>
      </c>
      <c r="L1011" s="1">
        <f t="shared" ref="L1011" si="1150">L1008-L1014</f>
        <v>1.5677825595631685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5.3956925970748325E-2</v>
      </c>
      <c r="G1012" s="1">
        <f t="shared" si="1151"/>
        <v>0.32238947068057466</v>
      </c>
      <c r="H1012" s="1">
        <f t="shared" si="1151"/>
        <v>0.19053068792921704</v>
      </c>
      <c r="I1012" s="1">
        <f t="shared" si="1151"/>
        <v>0.18642074049488766</v>
      </c>
      <c r="J1012" s="1">
        <f t="shared" si="1151"/>
        <v>0.18675560773498742</v>
      </c>
      <c r="K1012" s="1">
        <f t="shared" si="1151"/>
        <v>0.90155314256023344</v>
      </c>
      <c r="L1012" s="1">
        <f t="shared" ref="L1012" si="1152">SUM(L1013:L1014)</f>
        <v>0.90374004367018324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5.3956925970748325E-2</v>
      </c>
      <c r="G1013" s="1">
        <f t="shared" ref="G1013:K1013" si="1153">G1007*IFERROR(G$996/G$994,0)</f>
        <v>0.32238947068057466</v>
      </c>
      <c r="H1013" s="1">
        <f t="shared" si="1153"/>
        <v>0.18061656989156141</v>
      </c>
      <c r="I1013" s="1">
        <f t="shared" si="1153"/>
        <v>0.15152002098383233</v>
      </c>
      <c r="J1013" s="1">
        <f t="shared" si="1153"/>
        <v>0.12994831967445067</v>
      </c>
      <c r="K1013" s="1">
        <f t="shared" si="1153"/>
        <v>0.4757253421303696</v>
      </c>
      <c r="L1013" s="1">
        <f t="shared" ref="L1013" si="1154">L1007*IFERROR(L$996/L$994,0)</f>
        <v>0.31765235304546585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9.9141180376556351E-3</v>
      </c>
      <c r="I1014" s="1">
        <f t="shared" si="1155"/>
        <v>3.4900719511055348E-2</v>
      </c>
      <c r="J1014" s="1">
        <f t="shared" si="1155"/>
        <v>5.6807288060536747E-2</v>
      </c>
      <c r="K1014" s="1">
        <f t="shared" si="1155"/>
        <v>0.42582780042986379</v>
      </c>
      <c r="L1014" s="1">
        <f t="shared" ref="L1014" si="1156">L1008*IFERROR(L$996/L$994,0)</f>
        <v>0.58608769062471733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0.10003085333320115</v>
      </c>
      <c r="G1015" s="1">
        <f>[1]Residential!C$20</f>
        <v>0.10001193872413756</v>
      </c>
      <c r="H1015" s="1">
        <f>[1]Residential!D$20</f>
        <v>2.6970780686892657E-2</v>
      </c>
      <c r="I1015" s="1">
        <f>[1]Residential!E$20</f>
        <v>2.3790407355146724E-4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0.10003085333320115</v>
      </c>
      <c r="G1016" s="1">
        <f t="shared" ref="G1016:G1017" si="1157">G1015</f>
        <v>0.10001193872413756</v>
      </c>
      <c r="H1016" s="1">
        <f t="shared" ref="H1016:H1017" si="1158">H1015</f>
        <v>2.6970780686892657E-2</v>
      </c>
      <c r="I1016" s="1">
        <f t="shared" ref="I1016:I1017" si="1159">I1015</f>
        <v>2.3790407355146724E-4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0.10003085333320115</v>
      </c>
      <c r="G1017" s="1">
        <f t="shared" si="1157"/>
        <v>0.10001193872413756</v>
      </c>
      <c r="H1017" s="1">
        <f t="shared" si="1158"/>
        <v>2.6970780686892657E-2</v>
      </c>
      <c r="I1017" s="1">
        <f t="shared" si="1159"/>
        <v>2.3790407355146724E-4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13.723481082941639</v>
      </c>
      <c r="G1020" s="1">
        <f t="shared" ref="G1020:K1020" si="1163">G1021+G1023</f>
        <v>15.204634650354421</v>
      </c>
      <c r="H1020" s="1">
        <f t="shared" si="1163"/>
        <v>16.94557876287239</v>
      </c>
      <c r="I1020" s="1">
        <f t="shared" si="1163"/>
        <v>15.00118580701681</v>
      </c>
      <c r="J1020" s="1">
        <f t="shared" si="1163"/>
        <v>12.840028454443196</v>
      </c>
      <c r="K1020" s="1">
        <f t="shared" si="1163"/>
        <v>10.78310335139491</v>
      </c>
      <c r="L1020" s="1">
        <f t="shared" ref="L1020" si="1164">L1021+L1023</f>
        <v>6.4101309441917405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12.682333069067798</v>
      </c>
      <c r="G1021" s="1">
        <f t="shared" ref="G1021:L1021" si="1165">G1022</f>
        <v>14.010050173991349</v>
      </c>
      <c r="H1021" s="1">
        <f t="shared" si="1165"/>
        <v>14.228852236701366</v>
      </c>
      <c r="I1021" s="1">
        <f t="shared" si="1165"/>
        <v>12.42539386190702</v>
      </c>
      <c r="J1021" s="1">
        <f t="shared" si="1165"/>
        <v>10.475016388320848</v>
      </c>
      <c r="K1021" s="1">
        <f t="shared" si="1165"/>
        <v>8.6119042452913668</v>
      </c>
      <c r="L1021" s="1">
        <f t="shared" si="1165"/>
        <v>4.8754582434257294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12.682333069067798</v>
      </c>
      <c r="G1022" s="1">
        <f>[1]Residential!C$22-G1024-G1025</f>
        <v>14.010050173991349</v>
      </c>
      <c r="H1022" s="1">
        <f>[1]Residential!D$22-H1024-H1025</f>
        <v>14.228852236701366</v>
      </c>
      <c r="I1022" s="1">
        <f>[1]Residential!E$22-I1024-I1025</f>
        <v>12.42539386190702</v>
      </c>
      <c r="J1022" s="1">
        <f>[2]Residential!F$22-J1024-J1025</f>
        <v>10.475016388320848</v>
      </c>
      <c r="K1022" s="1">
        <f>[2]Residential!G$22-K1024-K1025</f>
        <v>8.6119042452913668</v>
      </c>
      <c r="L1022" s="1">
        <f>[2]Residential!H$22-L1024-L1025</f>
        <v>4.8754582434257294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1.0411480138738396</v>
      </c>
      <c r="G1023" s="1">
        <f t="shared" ref="G1023" si="1166">G1024</f>
        <v>1.1945844763630717</v>
      </c>
      <c r="H1023" s="1">
        <f t="shared" ref="H1023" si="1167">H1024</f>
        <v>2.7167265261710254</v>
      </c>
      <c r="I1023" s="1">
        <f t="shared" ref="I1023" si="1168">I1024</f>
        <v>2.5757919451097897</v>
      </c>
      <c r="J1023" s="1">
        <f t="shared" ref="J1023" si="1169">J1024</f>
        <v>2.3650120661223482</v>
      </c>
      <c r="K1023" s="1">
        <f t="shared" ref="K1023:L1023" si="1170">K1024</f>
        <v>2.1711991061035425</v>
      </c>
      <c r="L1023" s="1">
        <f t="shared" si="1170"/>
        <v>1.534672700766011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1.0411480138738396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1.1945844763630717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2.7167265261710254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2.5757919451097897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2.3650120661223482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2.1711991061035425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1.534672700766011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3.2685571165362637</v>
      </c>
      <c r="G1025" s="1">
        <f t="shared" ref="G1025:K1025" si="1171">G1026+G1028</f>
        <v>3.832167288020059</v>
      </c>
      <c r="H1025" s="1">
        <f t="shared" si="1171"/>
        <v>0.60987113624764266</v>
      </c>
      <c r="I1025" s="1">
        <f t="shared" si="1171"/>
        <v>0.76495539233414278</v>
      </c>
      <c r="J1025" s="1">
        <f t="shared" si="1171"/>
        <v>0.81166517979501829</v>
      </c>
      <c r="K1025" s="1">
        <f t="shared" si="1171"/>
        <v>0.87633590516719551</v>
      </c>
      <c r="L1025" s="1">
        <f t="shared" ref="L1025" si="1172">L1026+L1028</f>
        <v>0.77385738223068579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2.9967236951974243</v>
      </c>
      <c r="G1026" s="1">
        <f t="shared" ref="G1026:L1026" si="1173">G1027</f>
        <v>3.520388118912166</v>
      </c>
      <c r="H1026" s="1">
        <f t="shared" si="1173"/>
        <v>0.4435486569459936</v>
      </c>
      <c r="I1026" s="1">
        <f t="shared" si="1173"/>
        <v>0.54324201643603387</v>
      </c>
      <c r="J1026" s="1">
        <f t="shared" si="1173"/>
        <v>0.56358461343737143</v>
      </c>
      <c r="K1026" s="1">
        <f t="shared" si="1173"/>
        <v>0.59742453430398024</v>
      </c>
      <c r="L1026" s="1">
        <f t="shared" si="1173"/>
        <v>0.49869060400544019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2.9967236951974243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3.520388118912166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0.4435486569459936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0.54324201643603387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0.56358461343737143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0.59742453430398024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0.49869060400544019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0.27183342133883914</v>
      </c>
      <c r="G1028" s="1">
        <f t="shared" ref="G1028:L1028" si="1174">G1029</f>
        <v>0.31177916910789288</v>
      </c>
      <c r="H1028" s="1">
        <f t="shared" si="1174"/>
        <v>0.16632247930164906</v>
      </c>
      <c r="I1028" s="1">
        <f t="shared" si="1174"/>
        <v>0.22171337589810897</v>
      </c>
      <c r="J1028" s="1">
        <f t="shared" si="1174"/>
        <v>0.24808056635764689</v>
      </c>
      <c r="K1028" s="1">
        <f t="shared" si="1174"/>
        <v>0.27891137086321527</v>
      </c>
      <c r="L1028" s="1">
        <f t="shared" si="1174"/>
        <v>0.2751667782252456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0.27183342133883914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0.31177916910789288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0.16632247930164906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0.22171337589810897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0.24808056635764689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0.27891137086321527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0.2751667782252456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2.5069286589027415</v>
      </c>
      <c r="G1030" s="1">
        <f>[1]Residential!C$23</f>
        <v>2.9289323022695024</v>
      </c>
      <c r="H1030" s="1">
        <f>[1]Residential!D$23</f>
        <v>0.96444923400382954</v>
      </c>
      <c r="I1030" s="1">
        <f>[1]Residential!E$23</f>
        <v>1.0950024147449815</v>
      </c>
      <c r="J1030" s="1">
        <f>[2]Residential!F$23</f>
        <v>1.1738746398479758</v>
      </c>
      <c r="K1030" s="1">
        <f>[2]Residential!G$23</f>
        <v>1.2815577584272217</v>
      </c>
      <c r="L1030" s="1">
        <f>[2]Residential!H$23</f>
        <v>1.2990680745778094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0.78544063424289079</v>
      </c>
      <c r="G1031" s="1">
        <f t="shared" ref="G1031:L1031" si="1175">G1032</f>
        <v>0.94185363396680555</v>
      </c>
      <c r="H1031" s="1">
        <f t="shared" si="1175"/>
        <v>3.1977953162283961E-2</v>
      </c>
      <c r="I1031" s="1">
        <f t="shared" si="1175"/>
        <v>3.4980842181890168E-2</v>
      </c>
      <c r="J1031" s="1">
        <f t="shared" si="1175"/>
        <v>3.4869385434931358E-2</v>
      </c>
      <c r="K1031" s="1">
        <f t="shared" si="1175"/>
        <v>3.4123717025892106E-2</v>
      </c>
      <c r="L1031" s="1">
        <f t="shared" si="1175"/>
        <v>3.085897876040376E-2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0.78544063424289079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0.94185363396680555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3.1977953162283961E-2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3.4980842181890168E-2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3.4869385434931358E-2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3.4123717025892106E-2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3.085897876040376E-2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1.7214880246598507</v>
      </c>
      <c r="G1033" s="1">
        <f t="shared" ref="G1033:K1033" si="1176">G1030-G1031</f>
        <v>1.9870786683026969</v>
      </c>
      <c r="H1033" s="1">
        <f t="shared" si="1176"/>
        <v>0.93247128084154562</v>
      </c>
      <c r="I1033" s="1">
        <f t="shared" si="1176"/>
        <v>1.0600215725630913</v>
      </c>
      <c r="J1033" s="1">
        <f t="shared" si="1176"/>
        <v>1.1390052544130445</v>
      </c>
      <c r="K1033" s="1">
        <f t="shared" si="1176"/>
        <v>1.2474340414013296</v>
      </c>
      <c r="L1033" s="1">
        <f t="shared" ref="L1033" si="1177">L1030-L1031</f>
        <v>1.2682090958174057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1.7214880246598507</v>
      </c>
      <c r="G1034" s="1">
        <f t="shared" ref="G1034:K1034" si="1178">G1033</f>
        <v>1.9870786683026969</v>
      </c>
      <c r="H1034" s="1">
        <f t="shared" si="1178"/>
        <v>0.93247128084154562</v>
      </c>
      <c r="I1034" s="1">
        <f t="shared" si="1178"/>
        <v>1.0600215725630913</v>
      </c>
      <c r="J1034" s="1">
        <f t="shared" si="1178"/>
        <v>1.1390052544130445</v>
      </c>
      <c r="K1034" s="1">
        <f t="shared" si="1178"/>
        <v>1.2474340414013296</v>
      </c>
      <c r="L1034" s="1">
        <f t="shared" ref="L1034" si="1179">L1033</f>
        <v>1.2682090958174057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4.2148526458665542E-2</v>
      </c>
      <c r="J1035" s="1">
        <f>[2]Residential!F$24</f>
        <v>8.758626044410113E-3</v>
      </c>
      <c r="K1035" s="1">
        <f>[2]Residential!G$24</f>
        <v>1.3944318213779937E-2</v>
      </c>
      <c r="L1035" s="1">
        <f>[2]Residential!H$24</f>
        <v>1.8171299640670636E-2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4.2148526458665542E-2</v>
      </c>
      <c r="J1036" s="1">
        <f t="shared" si="1180"/>
        <v>8.758626044410113E-3</v>
      </c>
      <c r="K1036" s="1">
        <f t="shared" si="1180"/>
        <v>1.3944318213779937E-2</v>
      </c>
      <c r="L1036" s="1">
        <f t="shared" ref="L1036" si="1181">L1035-L1038-L1040</f>
        <v>1.8171299640670636E-2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8.1291150788064428</v>
      </c>
      <c r="G1042" s="1">
        <f>[1]Residential!C$21</f>
        <v>9.7142870061617934</v>
      </c>
      <c r="H1042" s="1">
        <f>[1]Residential!D$21</f>
        <v>8.3981523541129501</v>
      </c>
      <c r="I1042" s="1">
        <f>[1]Residential!E$21</f>
        <v>11.104482969678028</v>
      </c>
      <c r="J1042" s="1">
        <f>[2]Residential!F$21</f>
        <v>11.960066228978793</v>
      </c>
      <c r="K1042" s="1">
        <f>[2]Residential!G$21</f>
        <v>13.06863767354973</v>
      </c>
      <c r="L1042" s="1">
        <f>[2]Residential!H$21</f>
        <v>13.006246794662117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0.20988316315741937</v>
      </c>
      <c r="G1043" s="1">
        <f t="shared" ref="G1043:K1043" si="1186">SUM(G1044:G1046)</f>
        <v>6.4013181720045401E-2</v>
      </c>
      <c r="H1043" s="1">
        <f t="shared" si="1186"/>
        <v>0.12351622719015284</v>
      </c>
      <c r="I1043" s="1">
        <f t="shared" si="1186"/>
        <v>0</v>
      </c>
      <c r="J1043" s="1">
        <f t="shared" si="1186"/>
        <v>1.0244177864727078</v>
      </c>
      <c r="K1043" s="1">
        <f t="shared" si="1186"/>
        <v>2.0389224163424911</v>
      </c>
      <c r="L1043" s="1">
        <f t="shared" ref="L1043" si="1187">SUM(L1044:L1046)</f>
        <v>0.79394815917733519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0.20988316315741937</v>
      </c>
      <c r="G1044" s="1">
        <f t="shared" si="1188"/>
        <v>6.4013181720045401E-2</v>
      </c>
      <c r="H1044" s="1">
        <f t="shared" si="1188"/>
        <v>0.12351622719015284</v>
      </c>
      <c r="I1044" s="1">
        <f t="shared" si="1188"/>
        <v>0</v>
      </c>
      <c r="J1044" s="1">
        <f t="shared" si="1188"/>
        <v>6.8442156936135673E-2</v>
      </c>
      <c r="K1044" s="1">
        <f t="shared" si="1188"/>
        <v>1.694586012526721E-2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0.955975629536572</v>
      </c>
      <c r="K1046" s="1">
        <f t="shared" si="1191"/>
        <v>2.0219765562172238</v>
      </c>
      <c r="L1046" s="1">
        <f t="shared" ref="L1046" si="1192">SUM(L285,L286)</f>
        <v>0.79394815917733519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7.9192319156490232</v>
      </c>
      <c r="G1047" s="1">
        <f t="shared" ref="G1047:K1047" si="1193">G1042-G1043</f>
        <v>9.6502738244417472</v>
      </c>
      <c r="H1047" s="1">
        <f t="shared" si="1193"/>
        <v>8.2746361269227968</v>
      </c>
      <c r="I1047" s="1">
        <f t="shared" si="1193"/>
        <v>11.104482969678028</v>
      </c>
      <c r="J1047" s="1">
        <f t="shared" si="1193"/>
        <v>10.935648442506086</v>
      </c>
      <c r="K1047" s="1">
        <f t="shared" si="1193"/>
        <v>11.02971525720724</v>
      </c>
      <c r="L1047" s="1">
        <f t="shared" ref="L1047" si="1194">L1042-L1043</f>
        <v>12.212298635484782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15.195876644410834</v>
      </c>
      <c r="G1048" s="1">
        <f>[1]Residential!C$25</f>
        <v>17.649511819360285</v>
      </c>
      <c r="H1048" s="1">
        <f>[1]Residential!D$25</f>
        <v>26.405381726215662</v>
      </c>
      <c r="I1048" s="1">
        <f>[1]Residential!E$25</f>
        <v>41.295065469658269</v>
      </c>
      <c r="J1048" s="1">
        <f>[2]Residential!F$25</f>
        <v>50.508888634062039</v>
      </c>
      <c r="K1048" s="1">
        <f>[2]Residential!G$25</f>
        <v>61.146088075216397</v>
      </c>
      <c r="L1048" s="1">
        <f>[2]Residential!H$25</f>
        <v>66.788966160440495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13.104583897855779</v>
      </c>
      <c r="G1049" s="1">
        <f t="shared" ref="G1049:K1049" si="1195">G1048-G1052</f>
        <v>15.300398490169524</v>
      </c>
      <c r="H1049" s="1">
        <f t="shared" si="1195"/>
        <v>23.556241330367229</v>
      </c>
      <c r="I1049" s="1">
        <f t="shared" si="1195"/>
        <v>35.547404704364766</v>
      </c>
      <c r="J1049" s="1">
        <f t="shared" si="1195"/>
        <v>42.336379552615995</v>
      </c>
      <c r="K1049" s="1">
        <f t="shared" si="1195"/>
        <v>50.110298246711579</v>
      </c>
      <c r="L1049" s="1">
        <f t="shared" ref="L1049" si="1196">L1048-L1052</f>
        <v>52.445072648967546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13.104583897855779</v>
      </c>
      <c r="G1050" s="1">
        <f t="shared" ref="G1050:K1050" si="1197">G1049-G1051</f>
        <v>15.300398490169524</v>
      </c>
      <c r="H1050" s="1">
        <f t="shared" si="1197"/>
        <v>21.172784425460719</v>
      </c>
      <c r="I1050" s="1">
        <f t="shared" si="1197"/>
        <v>28.920806101129472</v>
      </c>
      <c r="J1050" s="1">
        <f t="shared" si="1197"/>
        <v>34.005065612933414</v>
      </c>
      <c r="K1050" s="1">
        <f t="shared" si="1197"/>
        <v>39.896364314433967</v>
      </c>
      <c r="L1050" s="1">
        <f t="shared" ref="L1050" si="1198">L1049-L1051</f>
        <v>42.242539311145379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2.3834569049065082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6.6265986032352959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8.3313139396825804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10.213933932277612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10.202533337822171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2.0912927465550561</v>
      </c>
      <c r="G1052" s="1">
        <f t="shared" ref="G1052:K1052" si="1199">SUM(G1053:G1054)</f>
        <v>2.3491133291907618</v>
      </c>
      <c r="H1052" s="1">
        <f t="shared" si="1199"/>
        <v>2.8491403958484338</v>
      </c>
      <c r="I1052" s="1">
        <f t="shared" si="1199"/>
        <v>5.7476607652935048</v>
      </c>
      <c r="J1052" s="1">
        <f t="shared" si="1199"/>
        <v>8.1725090814460444</v>
      </c>
      <c r="K1052" s="1">
        <f t="shared" si="1199"/>
        <v>11.035789828504821</v>
      </c>
      <c r="L1052" s="1">
        <f t="shared" ref="L1052" si="1200">SUM(L1053:L1054)</f>
        <v>14.343893511472951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2.0912927465550561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2.3491133291907618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2.2971762488174985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3.8986831180995312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5.4854168208027003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7.3901517018517939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9.8230174303212738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0.55196414703093544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1.8489776471939738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2.6870922606433436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3.6456381266530276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4.5208760811516768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156.12093687770451</v>
      </c>
      <c r="G1055" s="3">
        <f>[1]Residential!C$245</f>
        <v>162.39800958354641</v>
      </c>
      <c r="H1055" s="3">
        <f>[1]Residential!D$245</f>
        <v>147.54689137631874</v>
      </c>
      <c r="I1055" s="3">
        <f>[1]Residential!E$245</f>
        <v>145.94323275574402</v>
      </c>
      <c r="J1055" s="3">
        <f>[2]Residential!F$245</f>
        <v>147.12617107207979</v>
      </c>
      <c r="K1055" s="3">
        <f>[2]Residential!G$245</f>
        <v>149.12322836352834</v>
      </c>
      <c r="L1055" s="3">
        <f>[2]Residential!H$245</f>
        <v>150.36799005954637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129.14095656623883</v>
      </c>
      <c r="G1056" s="1">
        <f>[1]Residential!C$116</f>
        <v>136.46090974765966</v>
      </c>
      <c r="H1056" s="1">
        <f>[1]Residential!D$116</f>
        <v>125.87637498666756</v>
      </c>
      <c r="I1056" s="1">
        <f>[1]Residential!E$116</f>
        <v>123.84969173940918</v>
      </c>
      <c r="J1056" s="1">
        <f>[2]Residential!F$116</f>
        <v>122.87434702195384</v>
      </c>
      <c r="K1056" s="1">
        <f>[2]Residential!G$116</f>
        <v>122.09060517436141</v>
      </c>
      <c r="L1056" s="1">
        <f>[2]Residential!H$116</f>
        <v>121.42825997128841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27.969780432056027</v>
      </c>
      <c r="G1057" s="1">
        <f t="shared" ref="G1057:K1057" si="1203">SUM(G1058:G1059)</f>
        <v>29.966422345251523</v>
      </c>
      <c r="H1057" s="1">
        <f t="shared" si="1203"/>
        <v>32.71461376248768</v>
      </c>
      <c r="I1057" s="1">
        <f t="shared" si="1203"/>
        <v>42.008866765382677</v>
      </c>
      <c r="J1057" s="1">
        <f t="shared" si="1203"/>
        <v>47.95584301384995</v>
      </c>
      <c r="K1057" s="1">
        <f t="shared" si="1203"/>
        <v>54.982649531499696</v>
      </c>
      <c r="L1057" s="1">
        <f t="shared" ref="L1057" si="1204">SUM(L1058:L1059)</f>
        <v>56.09630909828784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8.9085674897203564</v>
      </c>
      <c r="G1058" s="1">
        <f>[1]Residential!C$102</f>
        <v>7.8759061819298264</v>
      </c>
      <c r="H1058" s="1">
        <f>[1]Residential!D$102</f>
        <v>0.82943084241698029</v>
      </c>
      <c r="I1058" s="1">
        <f>[1]Residential!E$102</f>
        <v>0.21068725652402101</v>
      </c>
      <c r="J1058" s="1">
        <f>[2]Residential!F$102</f>
        <v>3.0278139229351589E-2</v>
      </c>
      <c r="K1058" s="1">
        <f>[2]Residential!G$102</f>
        <v>1.9605530772892246E-2</v>
      </c>
      <c r="L1058" s="1">
        <f>[2]Residential!H$102</f>
        <v>1.7262567054939872E-2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19.061212942335672</v>
      </c>
      <c r="G1059" s="1">
        <f>[1]Residential!C$104</f>
        <v>22.090516163321695</v>
      </c>
      <c r="H1059" s="1">
        <f>[1]Residential!D$104</f>
        <v>31.885182920070701</v>
      </c>
      <c r="I1059" s="1">
        <f>[1]Residential!E$104</f>
        <v>41.798179508858659</v>
      </c>
      <c r="J1059" s="1">
        <f>[2]Residential!F$104</f>
        <v>47.925564874620598</v>
      </c>
      <c r="K1059" s="1">
        <f>[2]Residential!G$104</f>
        <v>54.963044000726804</v>
      </c>
      <c r="L1059" s="1">
        <f>[2]Residential!H$104</f>
        <v>56.079046531232898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45.124732449375429</v>
      </c>
      <c r="G1060" s="1">
        <f t="shared" ref="G1060:L1060" si="1205">G1061</f>
        <v>38.635311529864616</v>
      </c>
      <c r="H1060" s="1">
        <f t="shared" si="1205"/>
        <v>34.597407280433458</v>
      </c>
      <c r="I1060" s="1">
        <f t="shared" si="1205"/>
        <v>17.724732600971546</v>
      </c>
      <c r="J1060" s="1">
        <f t="shared" si="1205"/>
        <v>11.61426657460192</v>
      </c>
      <c r="K1060" s="1">
        <f t="shared" si="1205"/>
        <v>4.5940890769423754</v>
      </c>
      <c r="L1060" s="1">
        <f t="shared" si="1205"/>
        <v>0.70648683808787638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45.124732449375429</v>
      </c>
      <c r="G1061" s="1">
        <f>[1]Residential!C$105</f>
        <v>38.635311529864616</v>
      </c>
      <c r="H1061" s="1">
        <f>[1]Residential!D$105</f>
        <v>34.597407280433458</v>
      </c>
      <c r="I1061" s="1">
        <f>[1]Residential!E$105</f>
        <v>17.724732600971546</v>
      </c>
      <c r="J1061" s="1">
        <f>[2]Residential!F$105</f>
        <v>11.61426657460192</v>
      </c>
      <c r="K1061" s="1">
        <f>[2]Residential!G$105</f>
        <v>4.5940890769423754</v>
      </c>
      <c r="L1061" s="1">
        <f>[2]Residential!H$105</f>
        <v>0.70648683808787638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36.570240194623402</v>
      </c>
      <c r="G1062" s="1">
        <f t="shared" ref="G1062:K1062" si="1206">SUM(G1063:G1064)</f>
        <v>39.169535469418108</v>
      </c>
      <c r="H1062" s="1">
        <f t="shared" si="1206"/>
        <v>36.848351092744977</v>
      </c>
      <c r="I1062" s="1">
        <f t="shared" si="1206"/>
        <v>36.507618357572085</v>
      </c>
      <c r="J1062" s="1">
        <f t="shared" si="1206"/>
        <v>31.685311712734119</v>
      </c>
      <c r="K1062" s="1">
        <f t="shared" si="1206"/>
        <v>26.933769338741378</v>
      </c>
      <c r="L1062" s="1">
        <f t="shared" ref="L1062" si="1207">SUM(L1063:L1064)</f>
        <v>21.915953269818221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36.570240194623402</v>
      </c>
      <c r="G1063" s="1">
        <f>[1]Residential!C$106</f>
        <v>39.169535469418108</v>
      </c>
      <c r="H1063" s="1">
        <f>[1]Residential!D$106</f>
        <v>31.695714547827524</v>
      </c>
      <c r="I1063" s="1">
        <f>[1]Residential!E$106</f>
        <v>22.816436145620465</v>
      </c>
      <c r="J1063" s="1">
        <f>[2]Residential!F$106</f>
        <v>14.713470399618449</v>
      </c>
      <c r="K1063" s="1">
        <f>[2]Residential!G$106</f>
        <v>6.4462720745126578</v>
      </c>
      <c r="L1063" s="1">
        <f>[2]Residential!H$106</f>
        <v>2.4988261381722126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5.1526365449174509</v>
      </c>
      <c r="I1064" s="1">
        <f>[1]Residential!E$107</f>
        <v>13.691182211951618</v>
      </c>
      <c r="J1064" s="1">
        <f>[2]Residential!F$107</f>
        <v>16.971841313115668</v>
      </c>
      <c r="K1064" s="1">
        <f>[2]Residential!G$107</f>
        <v>20.487497264228722</v>
      </c>
      <c r="L1064" s="1">
        <f>[2]Residential!H$107</f>
        <v>19.417127131646009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7.2022214399904735E-2</v>
      </c>
      <c r="G1065" s="1">
        <f t="shared" ref="G1065:L1065" si="1208">G1066</f>
        <v>7.2008595881379006E-2</v>
      </c>
      <c r="H1065" s="1">
        <f t="shared" si="1208"/>
        <v>2.1557763122038238E-2</v>
      </c>
      <c r="I1065" s="1">
        <f t="shared" si="1208"/>
        <v>1.9032325884117376E-4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7.2022214399904735E-2</v>
      </c>
      <c r="G1066" s="1">
        <f>[1]Residential!C$108</f>
        <v>7.2008595881379006E-2</v>
      </c>
      <c r="H1066" s="1">
        <f>[1]Residential!D$108</f>
        <v>2.1557763122038238E-2</v>
      </c>
      <c r="I1066" s="1">
        <f>[1]Residential!E$108</f>
        <v>1.9032325884117376E-4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6.3539959009895082</v>
      </c>
      <c r="G1067" s="1">
        <f>SUM([1]Residential!C$109:C$110)</f>
        <v>7.7404850754501888</v>
      </c>
      <c r="H1067" s="1">
        <f>SUM([1]Residential!D$109:D$110)</f>
        <v>5.9165475947607744</v>
      </c>
      <c r="I1067" s="1">
        <f>SUM([1]Residential!E$109:E$110)</f>
        <v>7.5774800703476881</v>
      </c>
      <c r="J1067" s="1">
        <f>SUM([2]Residential!F$109:F$110)</f>
        <v>7.9946735739007284</v>
      </c>
      <c r="K1067" s="1">
        <f>SUM([2]Residential!G$109:G$110)</f>
        <v>8.5594779533209877</v>
      </c>
      <c r="L1067" s="1">
        <f>SUM([2]Residential!H$109:H$110)</f>
        <v>8.1977907280364395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9.0200977587860984E-2</v>
      </c>
      <c r="G1068" s="1">
        <f>[1]Residential!C$109</f>
        <v>4.6584744819928164E-2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9.0200977587860984E-2</v>
      </c>
      <c r="G1069" s="1">
        <f t="shared" ref="G1069:K1069" si="1209">IFERROR(G$1068/G$1043,0)*G1044</f>
        <v>4.6584744819928164E-2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6.2637949234016475</v>
      </c>
      <c r="G1072" s="1">
        <f t="shared" ref="G1072:K1072" si="1215">G1067-G1068</f>
        <v>7.6939003306302602</v>
      </c>
      <c r="H1072" s="1">
        <f t="shared" si="1215"/>
        <v>5.9165475947607744</v>
      </c>
      <c r="I1072" s="1">
        <f t="shared" si="1215"/>
        <v>7.5774800703476881</v>
      </c>
      <c r="J1072" s="1">
        <f t="shared" si="1215"/>
        <v>7.9946735739007284</v>
      </c>
      <c r="K1072" s="1">
        <f t="shared" si="1215"/>
        <v>8.5594779533209877</v>
      </c>
      <c r="L1072" s="1">
        <f t="shared" ref="L1072" si="1216">L1067-L1068</f>
        <v>8.1977907280364395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9.1312798097288201</v>
      </c>
      <c r="G1073" s="1">
        <f t="shared" ref="G1073:L1073" si="1217">G1074</f>
        <v>10.087236125273765</v>
      </c>
      <c r="H1073" s="1">
        <f t="shared" si="1217"/>
        <v>10.23846304949334</v>
      </c>
      <c r="I1073" s="1">
        <f t="shared" si="1217"/>
        <v>9.0203082549108444</v>
      </c>
      <c r="J1073" s="1">
        <f t="shared" si="1217"/>
        <v>7.6221196006725629</v>
      </c>
      <c r="K1073" s="1">
        <f t="shared" si="1217"/>
        <v>6.2850906010294292</v>
      </c>
      <c r="L1073" s="1">
        <f t="shared" si="1217"/>
        <v>3.6699031778592022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9.1312798097288201</v>
      </c>
      <c r="G1074" s="1">
        <f>[1]Residential!C$111</f>
        <v>10.087236125273765</v>
      </c>
      <c r="H1074" s="1">
        <f>[1]Residential!D$111</f>
        <v>10.23846304949334</v>
      </c>
      <c r="I1074" s="1">
        <f>[1]Residential!E$111</f>
        <v>9.0203082549108444</v>
      </c>
      <c r="J1074" s="1">
        <f>[2]Residential!F$111</f>
        <v>7.6221196006725629</v>
      </c>
      <c r="K1074" s="1">
        <f>[2]Residential!G$111</f>
        <v>6.2850906010294292</v>
      </c>
      <c r="L1074" s="1">
        <f>[2]Residential!H$111</f>
        <v>3.6699031778592022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2.6970513256776814</v>
      </c>
      <c r="G1075" s="1">
        <f t="shared" ref="G1075:L1075" si="1218">G1076</f>
        <v>3.1683493070209496</v>
      </c>
      <c r="H1075" s="1">
        <f t="shared" si="1218"/>
        <v>0.32585701234233616</v>
      </c>
      <c r="I1075" s="1">
        <f t="shared" si="1218"/>
        <v>0.39995686502393585</v>
      </c>
      <c r="J1075" s="1">
        <f t="shared" si="1218"/>
        <v>0.41522237915034216</v>
      </c>
      <c r="K1075" s="1">
        <f t="shared" si="1218"/>
        <v>0.44225757356540252</v>
      </c>
      <c r="L1075" s="1">
        <f t="shared" si="1218"/>
        <v>0.37426896296071471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2.6970513256776814</v>
      </c>
      <c r="G1076" s="1">
        <f>[1]Residential!C$112</f>
        <v>3.1683493070209496</v>
      </c>
      <c r="H1076" s="1">
        <f>[1]Residential!D$112</f>
        <v>0.32585701234233616</v>
      </c>
      <c r="I1076" s="1">
        <f>[1]Residential!E$112</f>
        <v>0.39995686502393585</v>
      </c>
      <c r="J1076" s="1">
        <f>[2]Residential!F$112</f>
        <v>0.41522237915034216</v>
      </c>
      <c r="K1076" s="1">
        <f>[2]Residential!G$112</f>
        <v>0.44225757356540252</v>
      </c>
      <c r="L1076" s="1">
        <f>[2]Residential!H$112</f>
        <v>0.37426896296071471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0.78544063424289079</v>
      </c>
      <c r="G1077" s="1">
        <f t="shared" ref="G1077:L1077" si="1219">G1078</f>
        <v>0.94185363396680555</v>
      </c>
      <c r="H1077" s="1">
        <f t="shared" si="1219"/>
        <v>3.1977953162283961E-2</v>
      </c>
      <c r="I1077" s="1">
        <f t="shared" si="1219"/>
        <v>3.4980842181890168E-2</v>
      </c>
      <c r="J1077" s="1">
        <f t="shared" si="1219"/>
        <v>3.4869385434931358E-2</v>
      </c>
      <c r="K1077" s="1">
        <f t="shared" si="1219"/>
        <v>3.4123717025892106E-2</v>
      </c>
      <c r="L1077" s="1">
        <f t="shared" si="1219"/>
        <v>3.0858978760403763E-2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0.78544063424289079</v>
      </c>
      <c r="G1078" s="1">
        <f>[1]Residential!C$113</f>
        <v>0.94185363396680555</v>
      </c>
      <c r="H1078" s="1">
        <f>[1]Residential!D$113</f>
        <v>3.1977953162283961E-2</v>
      </c>
      <c r="I1078" s="1">
        <f>[1]Residential!E$113</f>
        <v>3.4980842181890168E-2</v>
      </c>
      <c r="J1078" s="1">
        <f>[2]Residential!F$113</f>
        <v>3.4869385434931358E-2</v>
      </c>
      <c r="K1078" s="1">
        <f>[2]Residential!G$113</f>
        <v>3.4123717025892106E-2</v>
      </c>
      <c r="L1078" s="1">
        <f>[2]Residential!H$113</f>
        <v>3.0858978760403763E-2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0.4364136051451632</v>
      </c>
      <c r="G1081" s="1">
        <f>[1]Residential!C$10-[1]Residential!C$223</f>
        <v>6.6797076655323089</v>
      </c>
      <c r="H1081" s="1">
        <f>[1]Residential!D$10-[1]Residential!D$223</f>
        <v>5.1815994781206678</v>
      </c>
      <c r="I1081" s="1">
        <f>[1]Residential!E$10-[1]Residential!E$223</f>
        <v>10.575557659759664</v>
      </c>
      <c r="J1081" s="1">
        <f>[2]Residential!F$10-[2]Residential!F$223</f>
        <v>15.552040781609309</v>
      </c>
      <c r="K1081" s="1">
        <f>[2]Residential!G$10-[2]Residential!G$223</f>
        <v>20.259147382236254</v>
      </c>
      <c r="L1081" s="1">
        <f>[2]Residential!H$10-[2]Residential!H$223</f>
        <v>30.436688917477721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26.979980311465653</v>
      </c>
      <c r="G1082" s="1">
        <f>[1]Residential!C$224</f>
        <v>25.937099835886766</v>
      </c>
      <c r="H1082" s="1">
        <f>[1]Residential!D$224</f>
        <v>21.670516389651187</v>
      </c>
      <c r="I1082" s="1">
        <f>[1]Residential!E$224</f>
        <v>22.093541016334871</v>
      </c>
      <c r="J1082" s="1">
        <f>[2]Residential!F$224</f>
        <v>24.251824050125911</v>
      </c>
      <c r="K1082" s="1">
        <f>[2]Residential!G$224</f>
        <v>27.032623189166934</v>
      </c>
      <c r="L1082" s="1">
        <f>[2]Residential!H$224</f>
        <v>28.939730088257953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9.8853948664184284</v>
      </c>
      <c r="G1083" s="1">
        <f t="shared" ref="G1083:K1083" si="1221">SUM(G1084:G1085)</f>
        <v>10.604351221806059</v>
      </c>
      <c r="H1083" s="1">
        <f t="shared" si="1221"/>
        <v>7.7311163800765028</v>
      </c>
      <c r="I1083" s="1">
        <f t="shared" si="1221"/>
        <v>9.4690277826297091</v>
      </c>
      <c r="J1083" s="1">
        <f t="shared" si="1221"/>
        <v>11.697875748637401</v>
      </c>
      <c r="K1083" s="1">
        <f t="shared" si="1221"/>
        <v>14.324267700864594</v>
      </c>
      <c r="L1083" s="1">
        <f t="shared" ref="L1083" si="1222">SUM(L1084:L1085)</f>
        <v>17.029147644558812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6.6450401712067464</v>
      </c>
      <c r="G1084" s="1">
        <f>[1]Residential!C$231-G1058</f>
        <v>6.9687574275601136</v>
      </c>
      <c r="H1084" s="1">
        <f>[1]Residential!D$231-H1058</f>
        <v>2.8222235255705348</v>
      </c>
      <c r="I1084" s="1">
        <f>[1]Residential!E$231-I1058</f>
        <v>2.0093105574710819</v>
      </c>
      <c r="J1084" s="1">
        <f>[2]Residential!F$231-J1058</f>
        <v>1.8609773833200045</v>
      </c>
      <c r="K1084" s="1">
        <f>[2]Residential!G$231-K1058</f>
        <v>1.7035423720035732</v>
      </c>
      <c r="L1084" s="1">
        <f>[2]Residential!H$231-L1058</f>
        <v>1.4830005835378877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3.240354695211682</v>
      </c>
      <c r="G1085" s="1">
        <f>[1]Residential!C$233-G1059</f>
        <v>3.6355937942459455</v>
      </c>
      <c r="H1085" s="1">
        <f>[1]Residential!D$233-H1059</f>
        <v>4.908892854505968</v>
      </c>
      <c r="I1085" s="1">
        <f>[1]Residential!E$233-I1059</f>
        <v>7.4597172251586272</v>
      </c>
      <c r="J1085" s="1">
        <f>[2]Residential!F$233-J1059</f>
        <v>9.8368983653173956</v>
      </c>
      <c r="K1085" s="1">
        <f>[2]Residential!G$233-K1059</f>
        <v>12.62072532886102</v>
      </c>
      <c r="L1085" s="1">
        <f>[2]Residential!H$233-L1059</f>
        <v>15.546147061020925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6.9846279778326164</v>
      </c>
      <c r="G1086" s="1">
        <f t="shared" ref="G1086:L1086" si="1223">G1087</f>
        <v>5.8544670496385933</v>
      </c>
      <c r="H1086" s="1">
        <f t="shared" si="1223"/>
        <v>4.4836979255221152</v>
      </c>
      <c r="I1086" s="1">
        <f t="shared" si="1223"/>
        <v>2.1231662544547554</v>
      </c>
      <c r="J1086" s="1">
        <f t="shared" si="1223"/>
        <v>1.5227167110276447</v>
      </c>
      <c r="K1086" s="1">
        <f t="shared" si="1223"/>
        <v>0.85693352467192163</v>
      </c>
      <c r="L1086" s="1">
        <f t="shared" si="1223"/>
        <v>0.13592244560805444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6.9846279778326164</v>
      </c>
      <c r="G1087" s="1">
        <f>[1]Residential!C$234-G1061</f>
        <v>5.8544670496385933</v>
      </c>
      <c r="H1087" s="1">
        <f>[1]Residential!D$234-H1061</f>
        <v>4.4836979255221152</v>
      </c>
      <c r="I1087" s="1">
        <f>[1]Residential!E$234-I1061</f>
        <v>2.1231662544547554</v>
      </c>
      <c r="J1087" s="1">
        <f>[2]Residential!F$234-J1061</f>
        <v>1.5227167110276447</v>
      </c>
      <c r="K1087" s="1">
        <f>[2]Residential!G$234-K1061</f>
        <v>0.85693352467192163</v>
      </c>
      <c r="L1087" s="1">
        <f>[2]Residential!H$234-L1061</f>
        <v>0.13592244560805444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6.3805777484808246</v>
      </c>
      <c r="G1088" s="1">
        <f t="shared" ref="G1088:K1088" si="1224">SUM(G1089:G1090)</f>
        <v>5.2356337330010163</v>
      </c>
      <c r="H1088" s="1">
        <f t="shared" si="1224"/>
        <v>6.3025268654257536</v>
      </c>
      <c r="I1088" s="1">
        <f t="shared" si="1224"/>
        <v>6.7108522396096486</v>
      </c>
      <c r="J1088" s="1">
        <f t="shared" si="1224"/>
        <v>6.9777971837164454</v>
      </c>
      <c r="K1088" s="1">
        <f t="shared" si="1224"/>
        <v>7.4395848996023322</v>
      </c>
      <c r="L1088" s="1">
        <f t="shared" ref="L1088" si="1225">SUM(L1089:L1090)</f>
        <v>7.3434572255595381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6.3805777484808246</v>
      </c>
      <c r="G1089" s="1">
        <f>[1]Residential!C$235-G1063</f>
        <v>5.2356337330010163</v>
      </c>
      <c r="H1089" s="1">
        <f>[1]Residential!D$235-H1063</f>
        <v>5.2098911521953006</v>
      </c>
      <c r="I1089" s="1">
        <f>[1]Residential!E$235-I1063</f>
        <v>3.4409882838664672</v>
      </c>
      <c r="J1089" s="1">
        <f>[2]Residential!F$235-J1063</f>
        <v>2.4115254431641038</v>
      </c>
      <c r="K1089" s="1">
        <f>[2]Residential!G$235-K1063</f>
        <v>1.464665000750669</v>
      </c>
      <c r="L1089" s="1">
        <f>[2]Residential!H$235-L1063</f>
        <v>0.66871089421997532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1.0926357132304529</v>
      </c>
      <c r="I1090" s="1">
        <f>[1]Residential!E$236-I1064</f>
        <v>3.2698639557431814</v>
      </c>
      <c r="J1090" s="1">
        <f>[2]Residential!F$236-J1064</f>
        <v>4.5662717405523416</v>
      </c>
      <c r="K1090" s="1">
        <f>[2]Residential!G$236-K1064</f>
        <v>5.9749198988516632</v>
      </c>
      <c r="L1090" s="1">
        <f>[2]Residential!H$236-L1064</f>
        <v>6.6747463313395627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1.3174217988002306</v>
      </c>
      <c r="G1093" s="1">
        <f t="shared" ref="G1093:K1093" si="1226">SUM(G1094,G1098)</f>
        <v>1.4634149442644346</v>
      </c>
      <c r="H1093" s="1">
        <f t="shared" si="1226"/>
        <v>0.95822315729957896</v>
      </c>
      <c r="I1093" s="1">
        <f t="shared" si="1226"/>
        <v>1.4685529170094487</v>
      </c>
      <c r="J1093" s="1">
        <f t="shared" si="1226"/>
        <v>1.7106835463170107</v>
      </c>
      <c r="K1093" s="1">
        <f t="shared" si="1226"/>
        <v>2.0084042126569113</v>
      </c>
      <c r="L1093" s="1">
        <f t="shared" ref="L1093" si="1227">SUM(L1094,L1098)</f>
        <v>2.2612286531946335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1.8702047656158113E-2</v>
      </c>
      <c r="G1094" s="1">
        <f>[1]Residential!C$238-G1068</f>
        <v>8.8073048497239181E-3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1.8702047656158113E-2</v>
      </c>
      <c r="G1095" s="1">
        <f t="shared" ref="G1095:K1097" si="1228">IFERROR(G$1094/G$1043,0)*G1044</f>
        <v>8.8073048497239181E-3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1.2987197511440725</v>
      </c>
      <c r="G1098" s="1">
        <f>[1]Residential!C$239-G1072</f>
        <v>1.4546076394147107</v>
      </c>
      <c r="H1098" s="1">
        <f>[1]Residential!D$239-H1072</f>
        <v>0.95822315729957896</v>
      </c>
      <c r="I1098" s="1">
        <f>[1]Residential!E$239-I1072</f>
        <v>1.4685529170094487</v>
      </c>
      <c r="J1098" s="1">
        <f>[2]Residential!F$239-J1072</f>
        <v>1.7106835463170107</v>
      </c>
      <c r="K1098" s="1">
        <f>[2]Residential!G$239-K1072</f>
        <v>2.0084042126569113</v>
      </c>
      <c r="L1098" s="1">
        <f>[2]Residential!H$239-L1072</f>
        <v>2.2612286531946335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0.52057400693692024</v>
      </c>
      <c r="G1099" s="1">
        <f t="shared" ref="G1099:L1099" si="1232">G1100</f>
        <v>0.59729223818153621</v>
      </c>
      <c r="H1099" s="1">
        <f t="shared" si="1232"/>
        <v>1.1872625000086217</v>
      </c>
      <c r="I1099" s="1">
        <f t="shared" si="1232"/>
        <v>1.1594599532141885</v>
      </c>
      <c r="J1099" s="1">
        <f t="shared" si="1232"/>
        <v>1.0872363085797874</v>
      </c>
      <c r="K1099" s="1">
        <f t="shared" si="1232"/>
        <v>1.0219586702080576</v>
      </c>
      <c r="L1099" s="1">
        <f t="shared" si="1232"/>
        <v>0.76416381672424061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0.52057400693692024</v>
      </c>
      <c r="G1100" s="1">
        <f>[1]Residential!C$240-G1074</f>
        <v>0.59729223818153621</v>
      </c>
      <c r="H1100" s="1">
        <f>[1]Residential!D$240-H1074</f>
        <v>1.1872625000086217</v>
      </c>
      <c r="I1100" s="1">
        <f>[1]Residential!E$240-I1074</f>
        <v>1.1594599532141885</v>
      </c>
      <c r="J1100" s="1">
        <f>[2]Residential!F$240-J1074</f>
        <v>1.0872363085797874</v>
      </c>
      <c r="K1100" s="1">
        <f>[2]Residential!G$240-K1074</f>
        <v>1.0219586702080576</v>
      </c>
      <c r="L1100" s="1">
        <f>[2]Residential!H$240-L1074</f>
        <v>0.76416381672424061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0.16989588833677471</v>
      </c>
      <c r="G1101" s="1">
        <f t="shared" ref="G1101" si="1233">G1102</f>
        <v>0.19486198069243299</v>
      </c>
      <c r="H1101" s="1">
        <f t="shared" ref="H1101" si="1234">H1102</f>
        <v>7.5218280477073074E-2</v>
      </c>
      <c r="I1101" s="1">
        <f t="shared" ref="I1101" si="1235">I1102</f>
        <v>0.10246029685402652</v>
      </c>
      <c r="J1101" s="1">
        <f t="shared" ref="J1101" si="1236">J1102</f>
        <v>0.11650929743458022</v>
      </c>
      <c r="K1101" s="1">
        <f t="shared" ref="K1101:L1101" si="1237">K1102</f>
        <v>0.13404013976178486</v>
      </c>
      <c r="L1101" s="1">
        <f t="shared" si="1237"/>
        <v>0.13760120679526749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0.16989588833677471</v>
      </c>
      <c r="G1102" s="1">
        <f>[1]Residential!C$241-G1076</f>
        <v>0.19486198069243299</v>
      </c>
      <c r="H1102" s="1">
        <f>[1]Residential!D$241-H1076</f>
        <v>7.5218280477073074E-2</v>
      </c>
      <c r="I1102" s="1">
        <f>[1]Residential!E$241-I1076</f>
        <v>0.10246029685402652</v>
      </c>
      <c r="J1102" s="1">
        <f>[2]Residential!F$241-J1076</f>
        <v>0.11650929743458022</v>
      </c>
      <c r="K1102" s="1">
        <f>[2]Residential!G$241-K1076</f>
        <v>0.13404013976178486</v>
      </c>
      <c r="L1102" s="1">
        <f>[2]Residential!H$241-L1076</f>
        <v>0.13760120679526749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1.7214880246598507</v>
      </c>
      <c r="G1103" s="1">
        <f t="shared" ref="G1103" si="1238">G1104</f>
        <v>1.9870786683026969</v>
      </c>
      <c r="H1103" s="1">
        <f t="shared" ref="H1103" si="1239">H1104</f>
        <v>0.93247128084154562</v>
      </c>
      <c r="I1103" s="1">
        <f t="shared" ref="I1103" si="1240">I1104</f>
        <v>1.0600215725630913</v>
      </c>
      <c r="J1103" s="1">
        <f t="shared" ref="J1103" si="1241">J1104</f>
        <v>1.1390052544130445</v>
      </c>
      <c r="K1103" s="1">
        <f t="shared" ref="K1103:L1103" si="1242">K1104</f>
        <v>1.2474340414013296</v>
      </c>
      <c r="L1103" s="1">
        <f t="shared" si="1242"/>
        <v>1.2682090958174057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1.7214880246598507</v>
      </c>
      <c r="G1104" s="1">
        <f>[1]Residential!C$242-G1078</f>
        <v>1.9870786683026969</v>
      </c>
      <c r="H1104" s="1">
        <f>[1]Residential!D$242-H1078</f>
        <v>0.93247128084154562</v>
      </c>
      <c r="I1104" s="1">
        <f>[1]Residential!E$242-I1078</f>
        <v>1.0600215725630913</v>
      </c>
      <c r="J1104" s="1">
        <f>[2]Residential!F$242-J1078</f>
        <v>1.1390052544130445</v>
      </c>
      <c r="K1104" s="1">
        <f>[2]Residential!G$242-K1078</f>
        <v>1.2474340414013296</v>
      </c>
      <c r="L1104" s="1">
        <f>[2]Residential!H$242-L1078</f>
        <v>1.2682090958174057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0.95000000000000018</v>
      </c>
      <c r="G1109" s="4">
        <f t="shared" ref="G1109:K1110" si="1250">IFERROR(G1058/G975,"-")</f>
        <v>0.94999999999999962</v>
      </c>
      <c r="H1109" s="4">
        <f t="shared" si="1250"/>
        <v>0.91776951412600094</v>
      </c>
      <c r="I1109" s="4">
        <f t="shared" si="1250"/>
        <v>0.91943052771496125</v>
      </c>
      <c r="J1109" s="4">
        <f t="shared" si="1250"/>
        <v>0.93283630734957113</v>
      </c>
      <c r="K1109" s="4">
        <f t="shared" si="1250"/>
        <v>0.94286310783281102</v>
      </c>
      <c r="L1109" s="4">
        <f t="shared" ref="L1109" si="1251">IFERROR(L1058/L975,"-")</f>
        <v>0.94468554412664585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3.2000000000000024</v>
      </c>
      <c r="G1110" s="4">
        <f t="shared" si="1250"/>
        <v>3.2533333333333294</v>
      </c>
      <c r="H1110" s="4">
        <f t="shared" si="1250"/>
        <v>2.9764746836214107</v>
      </c>
      <c r="I1110" s="4">
        <f t="shared" si="1250"/>
        <v>3.2458621945194781</v>
      </c>
      <c r="J1110" s="4">
        <f t="shared" si="1250"/>
        <v>3.442805029739425</v>
      </c>
      <c r="K1110" s="4">
        <f t="shared" si="1250"/>
        <v>3.6479864937150239</v>
      </c>
      <c r="L1110" s="4">
        <f t="shared" ref="L1110" si="1252">IFERROR(L1059/L976,"-")</f>
        <v>4.0529770728423902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0.89583333333333448</v>
      </c>
      <c r="G1111" s="4">
        <f t="shared" ref="G1111:K1111" si="1253">IFERROR(G1061/G985,"-")</f>
        <v>0.89583333333333426</v>
      </c>
      <c r="H1111" s="4">
        <f t="shared" si="1253"/>
        <v>0.8539238769227977</v>
      </c>
      <c r="I1111" s="4">
        <f t="shared" si="1253"/>
        <v>0.8692590080985485</v>
      </c>
      <c r="J1111" s="4">
        <f t="shared" si="1253"/>
        <v>0.87037028247299253</v>
      </c>
      <c r="K1111" s="4">
        <f t="shared" si="1253"/>
        <v>0.871202330976793</v>
      </c>
      <c r="L1111" s="4">
        <f t="shared" ref="L1111" si="1254">IFERROR(L1061/L985,"-")</f>
        <v>0.87032339115303803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0.95000000000000029</v>
      </c>
      <c r="G1112" s="4">
        <f t="shared" ref="G1112:K1112" si="1255">IFERROR(G1063/G998,"-")</f>
        <v>0.95000000000000073</v>
      </c>
      <c r="H1112" s="4">
        <f t="shared" si="1255"/>
        <v>0.9346106137103205</v>
      </c>
      <c r="I1112" s="4">
        <f t="shared" si="1255"/>
        <v>0.93488919291382067</v>
      </c>
      <c r="J1112" s="4">
        <f t="shared" si="1255"/>
        <v>0.9347331522503739</v>
      </c>
      <c r="K1112" s="4">
        <f t="shared" si="1255"/>
        <v>0.93413741067306033</v>
      </c>
      <c r="L1112" s="4">
        <f t="shared" ref="L1112" si="1256">IFERROR(L1063/L998,"-")</f>
        <v>0.94073275125173583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1.8607086627637814</v>
      </c>
      <c r="I1113" s="4">
        <f t="shared" si="1257"/>
        <v>1.9380027147048504</v>
      </c>
      <c r="J1113" s="4">
        <f t="shared" si="1257"/>
        <v>1.9642135924826485</v>
      </c>
      <c r="K1113" s="4">
        <f t="shared" si="1257"/>
        <v>1.9941958405524161</v>
      </c>
      <c r="L1113" s="4">
        <f t="shared" ref="L1113" si="1258">IFERROR(L1064/L999,"-")</f>
        <v>2.1072146603641406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0.71999999999999909</v>
      </c>
      <c r="G1114" s="4">
        <f t="shared" ref="G1114:K1114" si="1259">IFERROR(G1066/G1017,"-")</f>
        <v>0.71999999999999964</v>
      </c>
      <c r="H1114" s="4">
        <f t="shared" si="1259"/>
        <v>0.79930067180127806</v>
      </c>
      <c r="I1114" s="4">
        <f t="shared" si="1259"/>
        <v>0.79999999999999982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0.72000000000000042</v>
      </c>
      <c r="G1119" s="4">
        <f t="shared" ref="G1119:K1119" si="1261">IFERROR(G1074/G1022,"-")</f>
        <v>0.71999999999999953</v>
      </c>
      <c r="H1119" s="4">
        <f t="shared" si="1261"/>
        <v>0.71955649543430034</v>
      </c>
      <c r="I1119" s="4">
        <f t="shared" si="1261"/>
        <v>0.72595753141996811</v>
      </c>
      <c r="J1119" s="4">
        <f t="shared" si="1261"/>
        <v>0.72764751081161738</v>
      </c>
      <c r="K1119" s="4">
        <f t="shared" si="1261"/>
        <v>0.72981426894822443</v>
      </c>
      <c r="L1119" s="4">
        <f t="shared" ref="L1119" si="1262">IFERROR(L1074/L1022,"-")</f>
        <v>0.75272989627341225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63">IFERROR(G1076/G1027,"-")</f>
        <v>0.9</v>
      </c>
      <c r="H1120" s="4">
        <f t="shared" si="1263"/>
        <v>0.73465899905094845</v>
      </c>
      <c r="I1120" s="4">
        <f t="shared" si="1263"/>
        <v>0.73624066792158793</v>
      </c>
      <c r="J1120" s="4">
        <f t="shared" si="1263"/>
        <v>0.7367525110698997</v>
      </c>
      <c r="K1120" s="4">
        <f t="shared" si="1263"/>
        <v>0.7402735377793741</v>
      </c>
      <c r="L1120" s="4">
        <f t="shared" ref="L1120" si="1264">IFERROR(L1076/L1027,"-")</f>
        <v>0.75050333805092473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67">IFERROR(G1084/G978,"-")</f>
        <v>0.79200000000000004</v>
      </c>
      <c r="H1123" s="4">
        <f t="shared" si="1267"/>
        <v>0.46575802235527497</v>
      </c>
      <c r="I1123" s="4">
        <f t="shared" si="1267"/>
        <v>0.48531240321047248</v>
      </c>
      <c r="J1123" s="4">
        <f t="shared" si="1267"/>
        <v>0.49597995787785681</v>
      </c>
      <c r="K1123" s="4">
        <f t="shared" si="1267"/>
        <v>0.50419432457323121</v>
      </c>
      <c r="L1123" s="4">
        <f t="shared" ref="L1123" si="1268">IFERROR(L1084/L978,"-")</f>
        <v>0.5185097680687023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2.8200000000000007</v>
      </c>
      <c r="G1124" s="4">
        <f t="shared" si="1267"/>
        <v>2.8259999999999992</v>
      </c>
      <c r="H1124" s="4">
        <f t="shared" si="1267"/>
        <v>1.8795656633702611</v>
      </c>
      <c r="I1124" s="4">
        <f t="shared" si="1267"/>
        <v>2.0948176852255105</v>
      </c>
      <c r="J1124" s="4">
        <f t="shared" si="1267"/>
        <v>2.2605860244811109</v>
      </c>
      <c r="K1124" s="4">
        <f t="shared" si="1267"/>
        <v>2.4128759537369078</v>
      </c>
      <c r="L1124" s="4">
        <f t="shared" ref="L1124" si="1269">IFERROR(L1085/L979,"-")</f>
        <v>2.7163716470144688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70">IFERROR(G1087/G991,"-")</f>
        <v>0.71458333333333313</v>
      </c>
      <c r="H1125" s="4">
        <f t="shared" si="1270"/>
        <v>0.50203250571199487</v>
      </c>
      <c r="I1125" s="4">
        <f t="shared" si="1270"/>
        <v>0.53790969434062297</v>
      </c>
      <c r="J1125" s="4">
        <f t="shared" si="1270"/>
        <v>0.55213620828646459</v>
      </c>
      <c r="K1125" s="4">
        <f t="shared" si="1270"/>
        <v>0.56238917278111267</v>
      </c>
      <c r="L1125" s="4">
        <f t="shared" ref="L1125" si="1271">IFERROR(L1087/L991,"-")</f>
        <v>0.58848279577184215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0.74999999999999956</v>
      </c>
      <c r="G1126" s="4">
        <f t="shared" ref="G1126:K1126" si="1272">IFERROR(G1089/G1007,"-")</f>
        <v>0.75400000000000011</v>
      </c>
      <c r="H1126" s="4">
        <f t="shared" si="1272"/>
        <v>0.52892197897443249</v>
      </c>
      <c r="I1126" s="4">
        <f t="shared" si="1272"/>
        <v>0.55781247551014579</v>
      </c>
      <c r="J1126" s="4">
        <f t="shared" si="1272"/>
        <v>0.56099239735172668</v>
      </c>
      <c r="K1126" s="4">
        <f t="shared" si="1272"/>
        <v>0.56285172295987129</v>
      </c>
      <c r="L1126" s="4">
        <f t="shared" ref="L1126" si="1273">IFERROR(L1089/L1007,"-")</f>
        <v>0.57283478743897065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2.02088621177325</v>
      </c>
      <c r="I1127" s="4">
        <f t="shared" si="1274"/>
        <v>2.3012847235341902</v>
      </c>
      <c r="J1127" s="4">
        <f t="shared" si="1274"/>
        <v>2.4299284817507001</v>
      </c>
      <c r="K1127" s="4">
        <f t="shared" si="1274"/>
        <v>2.565134012623929</v>
      </c>
      <c r="L1127" s="4">
        <f t="shared" ref="L1127" si="1275">IFERROR(L1090/L1008,"-")</f>
        <v>3.0989546982959224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76">IFERROR(G1100/G1024,"-")</f>
        <v>0.50000000000000033</v>
      </c>
      <c r="H1132" s="4">
        <f t="shared" si="1276"/>
        <v>0.43701951174377435</v>
      </c>
      <c r="I1132" s="4">
        <f t="shared" si="1276"/>
        <v>0.45013726959409683</v>
      </c>
      <c r="J1132" s="4">
        <f t="shared" si="1276"/>
        <v>0.45971702392301528</v>
      </c>
      <c r="K1132" s="4">
        <f t="shared" si="1276"/>
        <v>0.47068860121358275</v>
      </c>
      <c r="L1132" s="4">
        <f t="shared" ref="L1132" si="1277">IFERROR(L1100/L1024,"-")</f>
        <v>0.49793276204288944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0.62500000000000089</v>
      </c>
      <c r="G1133" s="4">
        <f t="shared" ref="G1133:K1133" si="1278">IFERROR(G1102/G1029,"-")</f>
        <v>0.62499999999999978</v>
      </c>
      <c r="H1133" s="4">
        <f t="shared" si="1278"/>
        <v>0.45224362210627111</v>
      </c>
      <c r="I1133" s="4">
        <f t="shared" si="1278"/>
        <v>0.46212952393595491</v>
      </c>
      <c r="J1133" s="4">
        <f t="shared" si="1278"/>
        <v>0.46964298391117776</v>
      </c>
      <c r="K1133" s="4">
        <f t="shared" si="1278"/>
        <v>0.48058327398749662</v>
      </c>
      <c r="L1133" s="4">
        <f t="shared" ref="L1133" si="1279">IFERROR(L1102/L1029,"-")</f>
        <v>0.50006475230316538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141.10167328846083</v>
      </c>
      <c r="G1136" s="3">
        <f t="shared" si="1282"/>
        <v>134.8367750226968</v>
      </c>
      <c r="H1136" s="3">
        <f t="shared" si="1282"/>
        <v>121.54868769570562</v>
      </c>
      <c r="I1136" s="3">
        <f t="shared" si="1282"/>
        <v>88.037138183401552</v>
      </c>
      <c r="J1136" s="3">
        <f t="shared" si="1282"/>
        <v>59.491950961019548</v>
      </c>
      <c r="K1136" s="3">
        <f t="shared" si="1282"/>
        <v>50.359249125771839</v>
      </c>
      <c r="L1136" s="3">
        <f t="shared" ref="L1136" si="1283">L1137+L1152+L1157+L1180+L1203</f>
        <v>41.084835514123746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0.75904311485990328</v>
      </c>
      <c r="G1137" s="1">
        <f t="shared" ref="G1137:K1137" si="1284">SUM(G1138:G1151)</f>
        <v>1.7792398401544249</v>
      </c>
      <c r="H1137" s="1">
        <f t="shared" si="1284"/>
        <v>4.4609875179463874</v>
      </c>
      <c r="I1137" s="1">
        <f t="shared" si="1284"/>
        <v>18.761652976295263</v>
      </c>
      <c r="J1137" s="1">
        <f t="shared" si="1284"/>
        <v>33.78889811534966</v>
      </c>
      <c r="K1137" s="1">
        <f t="shared" si="1284"/>
        <v>41.044869382171285</v>
      </c>
      <c r="L1137" s="1">
        <f t="shared" ref="L1137" si="1285">SUM(L1138:L1151)</f>
        <v>39.724754206402508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0.46775321103068807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0.37695569892784792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0.26206799058819863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0.11309438201948849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1.1753470285554044E-2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2.1992886307014767E-2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2.0899358540414026E-2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0.48150132464017859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1.0213780221808979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1.2273327178096396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1.1825162531703048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6.6747486115301083E-2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0.12307832929795047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0.16273543280500249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5.1355658757097356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10.735025878917014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11.924879143383112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10.732592873079064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5.0569751806782734E-2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0.25759536963994467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0.83973041352650502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0.88313155516653929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1.1693271467343054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6.3953730122904728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9.4449124493742573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0.15882112619722877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0.90074557057290427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2.8599676467840207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9.907725329674534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16.347133525790994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16.929963393255576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15.775556426151118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5.9062578061176599E-4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9.0864607574338491E-4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4.2894209844528356E-3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1.0143451689061155E-3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8.0534700353019251E-4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1.8955416630656618E-4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3.3805307952949662E-3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8.4363186840827678E-3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1.0781298760179536E-2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2.2762196762880653E-2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6.3788142841557675E-3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4.6320792156940302E-3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1.6330472223809215E-3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4.2257203478147223E-2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0.14392859340708863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1.0459420047492505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2.4000902101190165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1.7672620374903532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0.5635698255229078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2.1512532490701893E-2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2.9159853456187105E-2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4.9684470895111313E-2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1.1021740027279802E-2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3.8062508277361016E-3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1.137775407369984E-3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5.8439034758114719E-4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8.981745409123497E-4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4.4203831369525369E-3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1.0562295324436297E-3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8.3361877561700362E-4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1.915152091909703E-4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1.753862905357987E-5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7.1664915616044447E-4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2.3839631952658324E-3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1.1473215028926158E-2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5.2678886454099131E-3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5.1787261769494991E-3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1.8224028717512115E-3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1.901278548490257E-2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0.11598673387917731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0.73985860106067414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1.9044728941405966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1.2669548792922907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0.39227223894091767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5.7614799865749241E-3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1.1539412387691706E-2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2.8220086517950566E-2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7.1343865341717532E-3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4.2163273269200073E-3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1.2260825707428188E-3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0.33398412994859022</v>
      </c>
      <c r="J1151" s="1">
        <f>[2]Transport!F$32</f>
        <v>0.17959703327447527</v>
      </c>
      <c r="K1151" s="1">
        <f>[2]Transport!G$32</f>
        <v>1.5136318493233853</v>
      </c>
      <c r="L1151" s="1">
        <f>[2]Transport!H$32</f>
        <v>1.6271337627161935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1.2578995250666642E-3</v>
      </c>
      <c r="G1152" s="1">
        <f t="shared" ref="G1152:K1152" si="1290">SUM(G1153:G1156)</f>
        <v>3.8052827299271423E-3</v>
      </c>
      <c r="H1152" s="1">
        <f t="shared" si="1290"/>
        <v>4.5313552833252547E-3</v>
      </c>
      <c r="I1152" s="1">
        <f t="shared" si="1290"/>
        <v>1.9073786592888461E-3</v>
      </c>
      <c r="J1152" s="1">
        <f t="shared" si="1290"/>
        <v>1.9946210435116342E-4</v>
      </c>
      <c r="K1152" s="1">
        <f t="shared" si="1290"/>
        <v>1.6557037786945673E-4</v>
      </c>
      <c r="L1152" s="1">
        <f t="shared" ref="L1152" si="1291">SUM(L1153:L1156)</f>
        <v>1.5092819884185213E-4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4.3658869685289696E-4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5.3358819465656277E-4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1.6326303284530698E-4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2.8368749648007769E-5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2.6228441125740726E-5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2.0357817035839072E-5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1.7188339485569516E-4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5.6304296400316596E-4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8.2354125241344714E-4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4.7247021116697188E-4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4.8402035587598652E-5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4.4039830144685154E-5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3.9026014338486258E-5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1.0860161302109692E-3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2.3279316316985187E-3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2.4352966495347528E-3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8.9185712049433372E-4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7.3167049071963547E-5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4.9219134108358503E-5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4.6507413558979475E-5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4.7771943737256084E-4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7.3892918672049208E-4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3.7978829478223371E-4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4.9524270043593439E-5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4.6082972490672352E-5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4.5036953908547313E-5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76.403697980924306</v>
      </c>
      <c r="G1157" s="1">
        <f t="shared" ref="G1157:K1157" si="1292">SUM(G1162:G1179)</f>
        <v>74.211040865357049</v>
      </c>
      <c r="H1157" s="1">
        <f t="shared" si="1292"/>
        <v>71.059371752578983</v>
      </c>
      <c r="I1157" s="1">
        <f t="shared" si="1292"/>
        <v>41.517091035693113</v>
      </c>
      <c r="J1157" s="1">
        <f t="shared" si="1292"/>
        <v>15.934460929669356</v>
      </c>
      <c r="K1157" s="1">
        <f t="shared" si="1292"/>
        <v>5.6202626026022848</v>
      </c>
      <c r="L1157" s="1">
        <f t="shared" ref="L1157" si="1293">SUM(L1162:L1179)</f>
        <v>0.8051817398227662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72.221314310536769</v>
      </c>
      <c r="G1158" s="1">
        <f t="shared" si="1294"/>
        <v>70.147979472645815</v>
      </c>
      <c r="H1158" s="1">
        <f t="shared" si="1294"/>
        <v>67.168634536209225</v>
      </c>
      <c r="I1158" s="1">
        <f t="shared" si="1294"/>
        <v>37.883048080696092</v>
      </c>
      <c r="J1158" s="1">
        <f t="shared" si="1294"/>
        <v>14.766779319656363</v>
      </c>
      <c r="K1158" s="1">
        <f>IF(K1157-K1159&lt;0,0,K1157-K1159)</f>
        <v>2.4158468669173354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4.1823836703875417</v>
      </c>
      <c r="G1159" s="1">
        <f t="shared" ref="G1159" si="1296">SUM(G1160:G1161)</f>
        <v>4.0630613927112389</v>
      </c>
      <c r="H1159" s="1">
        <f t="shared" ref="H1159" si="1297">SUM(H1160:H1161)</f>
        <v>3.8907372163697502</v>
      </c>
      <c r="I1159" s="1">
        <f t="shared" ref="I1159" si="1298">SUM(I1160:I1161)</f>
        <v>3.6340429549970179</v>
      </c>
      <c r="J1159" s="1">
        <f t="shared" ref="J1159" si="1299">SUM(J1160:J1161)</f>
        <v>1.1676816100129928</v>
      </c>
      <c r="K1159" s="1">
        <f t="shared" ref="K1159:L1159" si="1300">SUM(K1160:K1161)</f>
        <v>3.2044157356849494</v>
      </c>
      <c r="L1159" s="1">
        <f t="shared" si="1300"/>
        <v>0.81572441611022084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4.1823836703875417</v>
      </c>
      <c r="G1160" s="1">
        <f>[1]Transport!C$25/SUM([1]Transport!C$21,[1]Transport!C$25)*G1157*(G$35+G$600)/(G$35+G$600+G$39)</f>
        <v>4.0630613927112389</v>
      </c>
      <c r="H1160" s="1">
        <f>[1]Transport!D$25/SUM([1]Transport!D$21,[1]Transport!D$25)*H1157*(H$35+H$600)/(H$35+H$600+H$39)</f>
        <v>3.8907372163697502</v>
      </c>
      <c r="I1160" s="1">
        <f>[1]Transport!E$25/SUM([1]Transport!E$21,[1]Transport!E$25)*I1157*(I$35+I$600)/(I$35+I$600+I$39)</f>
        <v>3.6340429549970179</v>
      </c>
      <c r="J1160" s="1">
        <f>[2]Transport!F$25/SUM([2]Transport!F$21,[2]Transport!F$25)*J1157*(J$35+J$600)/(J$35+J$600+J$39)</f>
        <v>1.1676816100129928</v>
      </c>
      <c r="K1160" s="1">
        <f>[2]Transport!G$25/SUM([2]Transport!G$21,[2]Transport!G$25)*K1157*(K$35+K$600)/(K$35+K$600+K$39)</f>
        <v>2.3732658719021704</v>
      </c>
      <c r="L1160" s="1">
        <f>[2]Transport!H$25/SUM([2]Transport!H$21,[2]Transport!H$25)*L1157*(L$35+L$600)/(L$35+L$600+L$39)</f>
        <v>9.8477126285415689E-2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0.83114986378277877</v>
      </c>
      <c r="L1161" s="1">
        <f>(L$39+L$719)/([2]Transport!H$21+[2]Transport!H$25)*L1157</f>
        <v>0.71724728982480512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1.2541470702660853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1.2428984975155788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0.92492862340533555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0.43894306232193969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3.4562473782819222E-2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6.8500025871825715E-2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5.3669332781251342E-2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5.0380087696886809E-2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3.1628079581937979E-3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3.8460425764484944E-4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0.10671818056945617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0.26178464552735076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0.90818979571190506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0.79148744138545257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0.47950119110433587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4.4865525780173242E-2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7.838652094740918E-2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1.1181971759736442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1.0629788244473974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0.85473147739132882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0.27552654620228872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2.2193961305194308E-4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6.7089267003846625E-2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0.14587901738327488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0.14443568959558051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0.12548771866292832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1.645655866455064E-2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2.2677775778732399E-4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63.987699774017699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53.341730855357618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42.583417893718476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13.115073269860021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0.35399510982523313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0.593377402922726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1.3337314082094138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1.1340892671018696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0.64146057752239083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8.4734739799977643E-2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3.4258884500046296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5.3189068088880536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5.9344730508635477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4.7386420001443739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0.59159602538663936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5.8371377436354573E-2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3.5980241919660059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5.7634447537405382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5.863588079970528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4.7454739339923995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0.28298930492471586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2.8171157565386527E-3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3.2235515767342031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5.2671578420897625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10.110914407919049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8.4513605575928619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2.2865031008961525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0.28403601937797746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5.2251862294734877E-3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9.9901798112381063E-3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1.3943183261774164E-2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1.2934940598757474E-3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3.6265389245118072E-4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4.710348116162175E-3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1.3444635349838592E-2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1.7768605984967153E-2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1.3667577445674929E-3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3.3556857846156235E-4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6.1885180990463983E-3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1.634376145083432E-2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1.9505784989402912E-2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1.4566455872567217E-3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3.2838977602066483E-4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7.2911228055128627E-3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2.0417147427044927E-2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2.4000461696184167E-2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1.7508480516004786E-3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3.8999763202611319E-4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3.7884489438780506E-4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1.3199730675547194E-2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1.6192371056587721E-2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4.3534366629421332E-2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7.739808777258282E-3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3.8169209276368056E-3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4.5064002910233874E-4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7.1247759812954198E-2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0.15693809918198898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0.15940138058342432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0.19111354729543278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4.0481990202489791E-2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1.816009421729653E-2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3.194897221277236E-3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7.670031938117032E-2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0.57608454027746359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1.5573973378062411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6.425498922820216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11.246907767571319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5.109233498644036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0.79977461779433523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0.12530844171840649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0.31952629470149346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0.34585783247129392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0.33605734686565342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5.6267505015720996E-2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1.1977379154850403E-2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1.7615847780514881E-3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63.830657839193577</v>
      </c>
      <c r="G1180" s="1">
        <f t="shared" ref="G1180:K1180" si="1301">SUM(G1185:G1202)</f>
        <v>58.732613456278386</v>
      </c>
      <c r="H1180" s="1">
        <f t="shared" si="1301"/>
        <v>45.911417899058442</v>
      </c>
      <c r="I1180" s="1">
        <f t="shared" si="1301"/>
        <v>27.729181234819883</v>
      </c>
      <c r="J1180" s="1">
        <f t="shared" si="1301"/>
        <v>9.7541164910145817</v>
      </c>
      <c r="K1180" s="1">
        <f t="shared" si="1301"/>
        <v>3.6922503831080911</v>
      </c>
      <c r="L1180" s="1">
        <f t="shared" ref="L1180" si="1302">SUM(L1185:L1202)</f>
        <v>0.55474863969963273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62.289807569495366</v>
      </c>
      <c r="G1181" s="1">
        <f t="shared" ref="G1181:L1181" si="1303">IF(G1180-G1182&lt;0,0,G1180-G1182)</f>
        <v>57.201379556424826</v>
      </c>
      <c r="H1181" s="1">
        <f t="shared" si="1303"/>
        <v>43.859840215355717</v>
      </c>
      <c r="I1181" s="1">
        <f t="shared" si="1303"/>
        <v>26.333784318249954</v>
      </c>
      <c r="J1181" s="1">
        <f t="shared" si="1303"/>
        <v>8.9445757467525233</v>
      </c>
      <c r="K1181" s="1">
        <f t="shared" si="1303"/>
        <v>3.1210634405491433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1.5408502696982103</v>
      </c>
      <c r="G1182" s="1">
        <f t="shared" ref="G1182" si="1307">SUM(G1183:G1184)</f>
        <v>1.5312338998535608</v>
      </c>
      <c r="H1182" s="1">
        <f t="shared" ref="H1182" si="1308">SUM(H1183:H1184)</f>
        <v>2.0515776837027264</v>
      </c>
      <c r="I1182" s="1">
        <f t="shared" ref="I1182" si="1309">SUM(I1183:I1184)</f>
        <v>1.395396916569928</v>
      </c>
      <c r="J1182" s="1">
        <f t="shared" ref="J1182" si="1310">SUM(J1183:J1184)</f>
        <v>0.80954074426205747</v>
      </c>
      <c r="K1182" s="1">
        <f t="shared" ref="K1182:L1182" si="1311">SUM(K1183:K1184)</f>
        <v>0.57118694255894786</v>
      </c>
      <c r="L1182" s="1">
        <f t="shared" si="1311"/>
        <v>0.65939326504400098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1.5408502696982103</v>
      </c>
      <c r="G1183" s="1">
        <f>[1]Transport!C$26/SUM([1]Transport!C$22,[1]Transport!C$26)*G1180*(G$34+G$582)/(G$34+G$582+G$38)</f>
        <v>1.5312338998535608</v>
      </c>
      <c r="H1183" s="1">
        <f>[1]Transport!D$26/SUM([1]Transport!D$22,[1]Transport!D$26)*H1180*(H$34+H$582)/(H$34+H$582+H$38)</f>
        <v>2.0515776837027264</v>
      </c>
      <c r="I1183" s="1">
        <f>[1]Transport!E$26/SUM([1]Transport!E$22,[1]Transport!E$26)*I1180*(I$34+I$582)/(I$34+I$582+I$38)</f>
        <v>1.395396916569928</v>
      </c>
      <c r="J1183" s="1">
        <f>[2]Transport!F$26/SUM([2]Transport!F$22,[2]Transport!F$26)*J1180*(J$34+J$582)/(J$34+J$582+J$38)</f>
        <v>0.80954074426205747</v>
      </c>
      <c r="K1183" s="1">
        <f>[2]Transport!G$26/SUM([2]Transport!G$22,[2]Transport!G$26)*K1180*(K$34+K$582)/(K$34+K$582+K$38)</f>
        <v>0.57025246252653794</v>
      </c>
      <c r="L1183" s="1">
        <f>[2]Transport!H$26/SUM([2]Transport!H$22,[2]Transport!H$26)*L1180*(L$34+L$582)/(L$34+L$582+L$38)</f>
        <v>0.23585287436078212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9.3448003240992382E-4</v>
      </c>
      <c r="L1184" s="1">
        <f>(L$38+L$718)/([2]Transport!H$22+[2]Transport!H$26)*L1180</f>
        <v>0.42354039068321886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5.7508868030672554E-5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0.11288426234783268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8.0292405616189652E-2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6.8773114482277367E-2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3.1432599408124574E-2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2.6121362524193862E-4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2.6620007396196323E-3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0.54496626784881763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1.290310101044863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1.0993347628420445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0.58657869001185969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4.1567843342940093E-2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2.6633986253751213E-2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5.6195667339234347E-2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5.9392820452294506E-2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4.8487289274720791E-2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6.9521517732520867E-3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1.8297201979674269E-4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3.461676317366575E-2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8.5017528116905133E-2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8.6868394884900446E-2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7.4341389127635729E-2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1.3141368305595619E-2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1.9122664071820109E-4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56.862333133602064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48.701009412538738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34.366996579087619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15.124975144400606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5.113645657383317E-3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1.872510548088327E-2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2.0787617333625094E-2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2.0716478813665961E-2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1.5546429218652111E-3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2.8589169804290487E-4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0.93556175462924263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1.2886117717252081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1.0977562077827692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0.85334610247168574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2.225577416130543E-2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2.6759811619600754E-4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4.0275380249776651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5.3313518822747357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5.2827989190884885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4.0391726993573265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0.13857736706275917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2.5163647299159231E-4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1.9295561383593771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2.2103243238560788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2.1622437766486806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1.5443498489322112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7.8904576384047673E-2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1.8971851231163462E-4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4.2666712583478142E-3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7.7981901919990269E-3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1.0691449807472823E-2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9.7365674014393533E-4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2.6674660591402305E-4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4.0438172509281601E-3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1.0462134986676341E-2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1.3462336258832605E-2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1.0385138208981364E-3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2.5431240522205613E-4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5.07259037882623E-3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1.2107849347895468E-2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1.4374686791663833E-2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1.0682698873432427E-3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2.4433342143543305E-4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3.9737014036536587E-3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9.047261878089052E-3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1.0870382096841612E-2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7.9261710289326066E-4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1.880315165907042E-4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3.205461885737698E-5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1.2886631398702613E-2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1.5774433335830628E-2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4.4012758568556042E-2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7.8797156842106038E-3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3.8703080926124267E-3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4.5016072173077699E-4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1.6812579385667848E-4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1.3164356501286428E-2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3.4816719584350453E-2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9.4833796726028291E-2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3.2852963257235156E-2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2.0005061170592323E-2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3.5205601896225931E-3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3.9730697789353134E-4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0.25562654307571175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1.2368801095341613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4.4791301740350402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8.7943194376976113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3.6111309554377939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0.54888053279988691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5.9873955421743119E-3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8.4492923482498344E-2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0.13708437826000472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0.18830882083327005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3.5794146795437118E-2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1.3092534029691091E-2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1.8973859883923956E-3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0.10701645395797613</v>
      </c>
      <c r="G1203" s="1">
        <f t="shared" ref="G1203:K1203" si="1312">SUM(G1208:G1212)</f>
        <v>0.11007557817701388</v>
      </c>
      <c r="H1203" s="1">
        <f t="shared" si="1312"/>
        <v>0.11237917083847564</v>
      </c>
      <c r="I1203" s="1">
        <f t="shared" si="1312"/>
        <v>2.7305557934010825E-2</v>
      </c>
      <c r="J1203" s="1">
        <f t="shared" si="1312"/>
        <v>1.4275962881603614E-2</v>
      </c>
      <c r="K1203" s="1">
        <f t="shared" si="1312"/>
        <v>1.7011875123132336E-3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9.8401853619462021E-2</v>
      </c>
      <c r="G1204" s="1">
        <f t="shared" ref="G1204:L1204" si="1314">IF(G1203-G1205&lt;0,0,G1203-G1205)</f>
        <v>9.9340382361580284E-2</v>
      </c>
      <c r="H1204" s="1">
        <f t="shared" si="1314"/>
        <v>0.10186739909231739</v>
      </c>
      <c r="I1204" s="1">
        <f t="shared" si="1314"/>
        <v>2.2736863742768454E-2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8.6146003385141091E-3</v>
      </c>
      <c r="G1205" s="1">
        <f t="shared" ref="G1205" si="1315">SUM(G1206:G1207)</f>
        <v>1.0735195815433597E-2</v>
      </c>
      <c r="H1205" s="1">
        <f t="shared" ref="H1205" si="1316">SUM(H1206:H1207)</f>
        <v>1.0511771746158249E-2</v>
      </c>
      <c r="I1205" s="1">
        <f t="shared" ref="I1205" si="1317">SUM(I1206:I1207)</f>
        <v>4.5686941912423699E-3</v>
      </c>
      <c r="J1205" s="1">
        <f t="shared" ref="J1205" si="1318">SUM(J1206:J1207)</f>
        <v>0.13211498835076951</v>
      </c>
      <c r="K1205" s="1">
        <f t="shared" ref="K1205:L1205" si="1319">SUM(K1206:K1207)</f>
        <v>0.59505800567209566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8.6146003385141091E-3</v>
      </c>
      <c r="G1206" s="1">
        <f>[1]Transport!C$27/SUM([1]Transport!C$24,[1]Transport!C$27)*G1203*(G$47+G$614)/(G$47+G$614+G$49)</f>
        <v>1.0735195815433597E-2</v>
      </c>
      <c r="H1206" s="1">
        <f>[1]Transport!D$27/SUM([1]Transport!D$24,[1]Transport!D$27)*H1203*(H$47+H$614)/(H$47+H$614+H$49)</f>
        <v>1.0511771746158249E-2</v>
      </c>
      <c r="I1206" s="1">
        <f>[1]Transport!E$27/SUM([1]Transport!E$24,[1]Transport!E$27)*I1203*(I$47+I$614)/(I$47+I$614+I$49)</f>
        <v>4.5686941912423699E-3</v>
      </c>
      <c r="J1206" s="1">
        <f>[2]Transport!F$27/SUM([2]Transport!F$24,[2]Transport!F$27)*J1203*(J$47+J$614)/(J$47+J$614+J$49)</f>
        <v>2.8626480800657311E-3</v>
      </c>
      <c r="K1206" s="1">
        <f>[2]Transport!G$27/SUM([2]Transport!G$24,[2]Transport!G$27)*K1203*(K$47+K$614)/(K$47+K$614+K$49)</f>
        <v>5.0262521770440586E-4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0.12925234027070379</v>
      </c>
      <c r="K1207" s="1">
        <f>(K$49+K$716)/([2]Transport!G$24+[2]Transport!G$27)*K1203</f>
        <v>0.59455538045439127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3.6152996598921281E-3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4.1075321129190982E-3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4.3521154003644449E-3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2.8844780859719299E-3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8.0917064375519347E-4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2.9265513487186114E-4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5.1000900720000422E-2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5.2144773369694718E-2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5.4166824796692443E-2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1.1199568113433638E-2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2.986307786536259E-3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3.0229170517749528E-4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4.7779795070820906E-3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5.931798142028751E-3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7.8478699278894878E-3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7.3326300074867323E-3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2.3625210996270048E-3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5.0954513706380933E-4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4.7622274071001489E-2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4.7891474552371319E-2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4.6012360713529252E-2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5.8888817271185246E-3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8.1179633516851573E-3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5.9669553520006781E-4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49.007522712498542</v>
      </c>
      <c r="G1213" s="3">
        <f t="shared" ref="G1213:K1213" si="1320">SUM(G1214:G1263)</f>
        <v>55.674120021742709</v>
      </c>
      <c r="H1213" s="3">
        <f t="shared" si="1320"/>
        <v>58.443553720619185</v>
      </c>
      <c r="I1213" s="3">
        <f t="shared" si="1320"/>
        <v>62.343025856872885</v>
      </c>
      <c r="J1213" s="3">
        <f t="shared" si="1320"/>
        <v>64.037130639344497</v>
      </c>
      <c r="K1213" s="3">
        <f t="shared" si="1320"/>
        <v>63.746161699308004</v>
      </c>
      <c r="L1213" s="3">
        <f t="shared" ref="L1213" si="1321">SUM(L1214:L1263)</f>
        <v>62.483664042386472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0.41607209159050434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0.36072601065105986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0.2772929438843833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0.13873048884991923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2.1293432707779118E-2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3.9843895738932503E-2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3.7862782131930714E-2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0.87232245505684225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1.9147381263725325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2.363017409302139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2.4996615778408038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9.7704854510058434E-2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0.1801618451461148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0.23821184453865535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7.5174324295340993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16.312071970154044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18.577818352150643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18.431432752921566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6.7634652364100198E-2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0.3445216291107594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1.1230997299616892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1.1811467051227369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1.6195522638173767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9.4147775698104574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15.002938610747517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0.20566905811202962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1.166441124893274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3.7035806647945315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12.830236035830476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21.719049054289247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23.198647513133558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24.084661078419359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2.7004314564777013E-4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1.0488069241603934E-2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1.3204893737117701E-2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3.8855983269832618E-2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7.4071929029824422E-3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4.3767556025868853E-3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7.0852276441832796E-4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4.6888309295433465E-2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0.10465728765346596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0.10963711729267106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0.14624126323797113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3.3627510956865649E-2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1.8665129044538736E-2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4.8691347744958422E-3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4.1842817498000041E-2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0.37355714118959582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1.0513792682706502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4.9710062250111724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9.6645553153939314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5.6746235168633801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1.4433863247147829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6.5129774928634143E-2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0.19489914700311281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0.21884058665307157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0.24124625019774806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4.4480452372962193E-2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1.192771308436014E-2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2.6889103481462142E-3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2.3348766953231078E-5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1.0345349101696327E-2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1.3024419692660771E-2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4.0019013166658339E-2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7.692119976868108E-3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4.5244214858762071E-3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7.1609902218637881E-4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2.9019992042068946E-5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8.8499277489182265E-3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2.426225475064411E-2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7.3677234667547289E-2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2.7721042808791289E-2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2.0883190853649168E-2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5.4193365924772715E-3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2.1980876605530485E-4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0.16813802396124963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0.84726035832866553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3.5162773971313337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7.6684784451979411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4.0677370316384716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1.0041232225387084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3.1550796499823256E-3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5.2250073941965958E-2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8.7715512359107642E-2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0.13704880371612743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2.8673608245764291E-2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1.3210286476347234E-2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2.8975422841088991E-3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4.7874992131993337E-4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5.8511662819146987E-4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1.7902928933471714E-4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3.1761885985288915E-5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3.1274053752244225E-5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2.6709006214706377E-5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1.5323322114038195E-4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5.0195009871120363E-4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7.341830719322424E-4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4.2120492448251555E-4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4.4076341482018934E-5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4.2730391344055366E-5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4.2049110715354911E-5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9.0139889696241437E-4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1.9321950628940702E-3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2.0213085723141669E-3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7.4024593401342774E-4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6.1679635633382412E-5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4.4451532938480265E-5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4.6880221923150163E-5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3.9973308685203928E-4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6.1830108148288449E-4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3.1778892702910653E-4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4.2286560491791808E-5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4.1828190850622469E-5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4.5291079055416575E-5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0.61929198768433291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0.62770377326903859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0.48270868795202665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0.24140975407941773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3.9544245761628724E-2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8.2418655385234726E-2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6.4090624872980534E-2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6.0292476359118212E-2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3.9513508656166116E-3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3.5752322195911233E-4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0.16550641813199138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0.53291916501859804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1.742719215255895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1.5086315959482244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0.90609041394444279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8.3125167768730357E-2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0.14797513335128124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2.78530886254278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2.6413605861523264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2.1318686565833258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0.70157315606289583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2.2883967695049032E-4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7.5599923996085908E-2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0.19799424185682285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0.19545508836373904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0.16798418529458203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2.60651637748784E-2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1.9066071000186353E-4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18.303003603260866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15.605046012512398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12.873489581415408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4.1782672913611361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0.2414795429084732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0.39832977147202486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0.82922209280675696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0.70461294150453324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0.38447589248536734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5.0752268331861854E-2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2.0620696764592474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3.2151015741944118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3.5525871148069186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2.8522683683930317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0.33616537297309912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3.2293128063700188E-2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1.8536275275894587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2.9740341713020686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3.0191652936503859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2.4619557776828818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0.14581559191043239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1.3447860367347309E-3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1.3969638897573464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2.2823600066295726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4.3873848943075719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3.6932789459284985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0.99256606230264799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0.12339989901101477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2.7086125803752101E-3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5.3843627285739461E-3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7.8818516363841455E-3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7.4102407480671861E-4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2.1659969160516619E-4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1.9658030804223432E-3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5.8776644292743464E-3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8.1052224451632106E-3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6.2934616642018148E-4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1.6119176087308769E-4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2.4009588096443098E-3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6.6296719150267178E-3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8.2192878022129597E-3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6.205016688166083E-4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1.4643445372536094E-4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2.8677778697233256E-3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8.39998395522892E-3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1.0223917124167717E-2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7.531199625360821E-4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1.7523935773646523E-4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2.4052576622640294E-5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0.19158837462913669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0.13462212038638466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0.11232532080670031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5.290796639472993E-2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2.6182066569298848E-4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3.2122077293299865E-3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1.4605929767174555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2.8937981857775195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2.4421622802251126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1.2635222881393289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8.097614048262794E-2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2.3972516648662373E-2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7.19368995230103E-2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7.5683042431275327E-2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6.281361252420474E-2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1.0079501921144219E-2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1.5952211713427501E-4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4.6522939444611E-2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0.1355030272173558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0.13692709254562699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0.11637892974032932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2.0618189895210349E-2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1.6723679200873957E-4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19.277382899149952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17.235982275638197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12.930854952052627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6.254137252445382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3.8628922420706588E-3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1.670728459130252E-2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1.7952640075081051E-2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1.7125115728144031E-2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1.2609030608309471E-3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1.945751490721346E-4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0.65903748475449886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0.90748083429040671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0.80219708408725143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0.64706115004486575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1.8294439911679672E-2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1.5101938168936269E-4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2.1530216980394234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2.8389965663152728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2.8107010649579305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2.186212677109538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8.1893104140680406E-2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1.2277773305631017E-4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0.89923816076204688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1.0071737896564095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0.98757858935679066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0.72518239330981704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3.0833453387347238E-2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8.0049932551628765E-5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2.3980204899592336E-3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4.5210762304691357E-3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6.4430916944571218E-3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5.9349208071300913E-4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1.6856686510211932E-4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1.8282156736666552E-3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4.9075163393193892E-3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6.5452983153249707E-3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5.0959910982491718E-4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1.2946832448551933E-4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2.1319158746760086E-3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5.2703143471622719E-3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6.4650101546145505E-3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4.8557163998821484E-4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1.1556531446913488E-4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1.5872316024544359E-3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3.737431508930016E-3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4.6453621391426836E-3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3.4233381873800394E-4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8.4469455529980999E-5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2.2290503464519043E-3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2.5046079326976616E-3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2.6217632300642901E-3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1.7179765053750777E-3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4.5451838135410677E-4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1.6352104792265767E-4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3.2207778514484517E-2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3.3052267161579239E-2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3.3799698204680866E-2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6.1750877591011666E-3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1.5765248226132975E-3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1.3538930158674134E-4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2.2483731975374813E-3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2.8871316350043124E-3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3.8279842977189593E-3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3.5122311713715218E-3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1.129780083637059E-3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2.3036733560922838E-4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3.2513786746818991E-2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3.241706271946581E-2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3.0747016428521508E-2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3.22424118941612E-3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4.9550694518133214E-3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2.6029770969277611E-4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0.8895119943136145</v>
      </c>
      <c r="G1265" s="1">
        <f t="shared" si="1325"/>
        <v>0.95694536964701904</v>
      </c>
      <c r="H1265" s="1">
        <f t="shared" si="1325"/>
        <v>1.0580954326471272</v>
      </c>
      <c r="I1265" s="1">
        <f t="shared" si="1325"/>
        <v>1.2266788709806391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1.8116719735064504</v>
      </c>
      <c r="G1266" s="1">
        <f t="shared" si="1325"/>
        <v>1.8116719735064535</v>
      </c>
      <c r="H1266" s="1">
        <f t="shared" si="1325"/>
        <v>1.8116719735064479</v>
      </c>
      <c r="I1266" s="1">
        <f t="shared" si="1325"/>
        <v>1.8116719735064502</v>
      </c>
      <c r="J1266" s="1">
        <f t="shared" si="1325"/>
        <v>1.8746615697526827</v>
      </c>
      <c r="K1266" s="1">
        <f t="shared" si="1325"/>
        <v>1.9253274804889908</v>
      </c>
      <c r="L1266" s="1">
        <f t="shared" ref="L1266" si="1330">IFERROR(L1215/L1139,"-")</f>
        <v>2.1138496584205555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1.4637982671179692</v>
      </c>
      <c r="G1267" s="1">
        <f t="shared" si="1325"/>
        <v>1.4637982671179701</v>
      </c>
      <c r="H1267" s="1">
        <f t="shared" si="1325"/>
        <v>1.463798267117969</v>
      </c>
      <c r="I1267" s="1">
        <f t="shared" si="1325"/>
        <v>1.4637982671179717</v>
      </c>
      <c r="J1267" s="1">
        <f t="shared" si="1325"/>
        <v>1.519518644309003</v>
      </c>
      <c r="K1267" s="1">
        <f t="shared" si="1325"/>
        <v>1.5579041203498587</v>
      </c>
      <c r="L1267" s="1">
        <f t="shared" ref="L1267" si="1331">IFERROR(L1216/L1140,"-")</f>
        <v>1.7173327052360079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1.337452725149199</v>
      </c>
      <c r="G1268" s="1">
        <f t="shared" si="1325"/>
        <v>1.3374527251491997</v>
      </c>
      <c r="H1268" s="1">
        <f t="shared" si="1325"/>
        <v>1.3374527251492005</v>
      </c>
      <c r="I1268" s="1">
        <f t="shared" si="1325"/>
        <v>1.3374527251491977</v>
      </c>
      <c r="J1268" s="1">
        <f t="shared" si="1325"/>
        <v>1.3850292181623074</v>
      </c>
      <c r="K1268" s="1">
        <f t="shared" si="1325"/>
        <v>1.4721232915918065</v>
      </c>
      <c r="L1268" s="1">
        <f t="shared" ref="L1268" si="1332">IFERROR(L1217/L1141,"-")</f>
        <v>1.5884677270609839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1.2949729235430789</v>
      </c>
      <c r="G1269" s="1">
        <f t="shared" si="1325"/>
        <v>1.2949729235430805</v>
      </c>
      <c r="H1269" s="1">
        <f t="shared" si="1325"/>
        <v>1.2949729235430818</v>
      </c>
      <c r="I1269" s="1">
        <f t="shared" si="1325"/>
        <v>1.2949729235430818</v>
      </c>
      <c r="J1269" s="1">
        <f t="shared" si="1325"/>
        <v>1.328615137328079</v>
      </c>
      <c r="K1269" s="1">
        <f t="shared" si="1325"/>
        <v>1.3702715696582812</v>
      </c>
      <c r="L1269" s="1">
        <f t="shared" ref="L1269" si="1333">IFERROR(L1218/L1142,"-")</f>
        <v>1.526707548552408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0.71280661201504836</v>
      </c>
      <c r="G1270" s="1">
        <f t="shared" si="1334"/>
        <v>0.76053648612685576</v>
      </c>
      <c r="H1270" s="1">
        <f t="shared" si="1334"/>
        <v>0.77217007824362605</v>
      </c>
      <c r="I1270" s="1">
        <f t="shared" si="1334"/>
        <v>0.81248234839852174</v>
      </c>
      <c r="J1270" s="1">
        <f t="shared" si="1334"/>
        <v>0.84613464059857879</v>
      </c>
      <c r="K1270" s="1">
        <f t="shared" si="1334"/>
        <v>0.94688487724290626</v>
      </c>
      <c r="L1270" s="1">
        <f t="shared" ref="L1270" si="1335">IFERROR(L1219/SUM(L1143,L1176),"-")</f>
        <v>1.1067310036539462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0.62829134786923002</v>
      </c>
      <c r="G1271" s="1">
        <f t="shared" si="1334"/>
        <v>0.63285052793487406</v>
      </c>
      <c r="H1271" s="1">
        <f t="shared" si="1334"/>
        <v>0.64423193779497667</v>
      </c>
      <c r="I1271" s="1">
        <f t="shared" si="1334"/>
        <v>0.6837674084168156</v>
      </c>
      <c r="J1271" s="1">
        <f t="shared" si="1334"/>
        <v>0.71760421796533291</v>
      </c>
      <c r="K1271" s="1">
        <f t="shared" si="1334"/>
        <v>0.81892712423475478</v>
      </c>
      <c r="L1271" s="1">
        <f t="shared" ref="L1271" si="1336">IFERROR(L1220/SUM(L1144,L1177),"-")</f>
        <v>1.008531649715189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0.54553641804355146</v>
      </c>
      <c r="G1272" s="1">
        <f t="shared" si="1334"/>
        <v>0.60412732111652168</v>
      </c>
      <c r="H1272" s="1">
        <f t="shared" si="1334"/>
        <v>0.61797639651612257</v>
      </c>
      <c r="I1272" s="1">
        <f t="shared" si="1334"/>
        <v>0.66533434088573995</v>
      </c>
      <c r="J1272" s="1">
        <f t="shared" si="1334"/>
        <v>0.70818177969933238</v>
      </c>
      <c r="K1272" s="1">
        <f t="shared" si="1334"/>
        <v>0.82522027201858128</v>
      </c>
      <c r="L1272" s="1">
        <f t="shared" ref="L1272" si="1337">IFERROR(L1221/SUM(L1145,L1178),"-")</f>
        <v>1.0587099480178206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0.51975568473665934</v>
      </c>
      <c r="G1273" s="1">
        <f t="shared" si="1334"/>
        <v>0.57148667970663569</v>
      </c>
      <c r="H1273" s="1">
        <f t="shared" si="1334"/>
        <v>0.58354737620398478</v>
      </c>
      <c r="I1273" s="1">
        <f t="shared" si="1334"/>
        <v>0.62540859997545784</v>
      </c>
      <c r="J1273" s="1">
        <f t="shared" si="1334"/>
        <v>0.66103360714683634</v>
      </c>
      <c r="K1273" s="1">
        <f t="shared" si="1334"/>
        <v>0.75570151464013946</v>
      </c>
      <c r="L1273" s="1">
        <f t="shared" ref="L1273" si="1338">IFERROR(L1222/SUM(L1146,L1179),"-")</f>
        <v>0.92741507649396604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0.7284056958255688</v>
      </c>
      <c r="G1274" s="1">
        <f t="shared" si="1339"/>
        <v>0.76797063330035009</v>
      </c>
      <c r="H1274" s="1">
        <f t="shared" si="1339"/>
        <v>0.78118670989850647</v>
      </c>
      <c r="I1274" s="1">
        <f t="shared" si="1339"/>
        <v>0.82627332767278949</v>
      </c>
      <c r="J1274" s="1">
        <f t="shared" si="1339"/>
        <v>0.86080652805838997</v>
      </c>
      <c r="K1274" s="1">
        <f t="shared" si="1339"/>
        <v>0.96183924891230521</v>
      </c>
      <c r="L1274" s="1">
        <f t="shared" ref="L1274" si="1340">IFERROR(L1223/SUM(L1147,L1199),"-")</f>
        <v>1.1159823638043038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0.15630346184360736</v>
      </c>
      <c r="G1275" s="1">
        <f t="shared" si="1339"/>
        <v>0.6375566704110105</v>
      </c>
      <c r="H1275" s="1">
        <f t="shared" si="1339"/>
        <v>0.6521991785575062</v>
      </c>
      <c r="I1275" s="1">
        <f t="shared" si="1339"/>
        <v>0.69306091339843867</v>
      </c>
      <c r="J1275" s="1">
        <f t="shared" si="1339"/>
        <v>0.72718843953400281</v>
      </c>
      <c r="K1275" s="1">
        <f t="shared" si="1339"/>
        <v>0.82923154351077255</v>
      </c>
      <c r="L1275" s="1">
        <f t="shared" ref="L1275" si="1341">IFERROR(L1224/SUM(L1148,L1200),"-")</f>
        <v>1.0142942277957336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0.55324667898032309</v>
      </c>
      <c r="G1276" s="1">
        <f t="shared" si="1339"/>
        <v>0.6122139346992348</v>
      </c>
      <c r="H1276" s="1">
        <f t="shared" si="1339"/>
        <v>0.62627032546011163</v>
      </c>
      <c r="I1276" s="1">
        <f t="shared" si="1339"/>
        <v>0.67374687868855332</v>
      </c>
      <c r="J1276" s="1">
        <f t="shared" si="1339"/>
        <v>0.7167611266159033</v>
      </c>
      <c r="K1276" s="1">
        <f t="shared" si="1339"/>
        <v>0.83387975723546248</v>
      </c>
      <c r="L1276" s="1">
        <f t="shared" ref="L1276" si="1342">IFERROR(L1225/SUM(L1149,L1201),"-")</f>
        <v>1.0669077887125917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0.52695360240665912</v>
      </c>
      <c r="G1277" s="1">
        <f t="shared" si="1339"/>
        <v>0.57891994111810907</v>
      </c>
      <c r="H1277" s="1">
        <f t="shared" si="1339"/>
        <v>0.59018486863272035</v>
      </c>
      <c r="I1277" s="1">
        <f t="shared" si="1339"/>
        <v>0.63293536827314922</v>
      </c>
      <c r="J1277" s="1">
        <f t="shared" si="1339"/>
        <v>0.66793822247794787</v>
      </c>
      <c r="K1277" s="1">
        <f t="shared" si="1339"/>
        <v>0.76320944539206115</v>
      </c>
      <c r="L1277" s="1">
        <f t="shared" ref="L1277" si="1343">IFERROR(L1226/SUM(L1150,L1202),"-")</f>
        <v>0.92766814496481853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1.0965696656165198</v>
      </c>
      <c r="H1278" s="1">
        <f t="shared" si="1344"/>
        <v>1.0965696656165205</v>
      </c>
      <c r="I1278" s="1">
        <f t="shared" si="1344"/>
        <v>1.0965696656165196</v>
      </c>
      <c r="J1278" s="1">
        <f t="shared" si="1344"/>
        <v>1.1196082442611084</v>
      </c>
      <c r="K1278" s="1">
        <f t="shared" si="1344"/>
        <v>1.1923718074709255</v>
      </c>
      <c r="L1278" s="1">
        <f t="shared" ref="L1278" si="1345">IFERROR(L1227/L1153,"-")</f>
        <v>1.3119779084214338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0.89149519806162214</v>
      </c>
      <c r="G1279" s="1">
        <f t="shared" si="1346"/>
        <v>0.89149519806161936</v>
      </c>
      <c r="H1279" s="1">
        <f t="shared" si="1346"/>
        <v>0.89149519806162214</v>
      </c>
      <c r="I1279" s="1">
        <f t="shared" si="1346"/>
        <v>0.89149519806162114</v>
      </c>
      <c r="J1279" s="1">
        <f t="shared" si="1346"/>
        <v>0.91062991353429712</v>
      </c>
      <c r="K1279" s="1">
        <f t="shared" si="1346"/>
        <v>0.97026694253070789</v>
      </c>
      <c r="L1279" s="1">
        <f t="shared" ref="L1279" si="1347">IFERROR(L1228/L1154,"-")</f>
        <v>1.0774636208209294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0.83000507256490652</v>
      </c>
      <c r="G1280" s="1">
        <f t="shared" si="1348"/>
        <v>0.83000507256490652</v>
      </c>
      <c r="H1280" s="1">
        <f t="shared" si="1348"/>
        <v>0.83000507256490674</v>
      </c>
      <c r="I1280" s="1">
        <f t="shared" si="1348"/>
        <v>0.83000507256490619</v>
      </c>
      <c r="J1280" s="1">
        <f t="shared" si="1348"/>
        <v>0.84299744783635222</v>
      </c>
      <c r="K1280" s="1">
        <f t="shared" si="1348"/>
        <v>0.90313520836465522</v>
      </c>
      <c r="L1280" s="1">
        <f t="shared" ref="L1280" si="1349">IFERROR(L1229/L1155,"-")</f>
        <v>1.0080161061568798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0.83675282096654136</v>
      </c>
      <c r="H1281" s="1">
        <f t="shared" si="1350"/>
        <v>0.83675282096654213</v>
      </c>
      <c r="I1281" s="1">
        <f t="shared" si="1350"/>
        <v>0.83675282096654158</v>
      </c>
      <c r="J1281" s="1">
        <f t="shared" si="1350"/>
        <v>0.85385530073576688</v>
      </c>
      <c r="K1281" s="1">
        <f t="shared" si="1350"/>
        <v>0.90767128485665516</v>
      </c>
      <c r="L1281" s="1">
        <f t="shared" ref="L1281" si="1351">IFERROR(L1230/L1156,"-")</f>
        <v>1.0056425918010639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0.4937953469467829</v>
      </c>
      <c r="G1282" s="1">
        <f t="shared" si="1352"/>
        <v>0.50503220860251363</v>
      </c>
      <c r="H1282" s="1">
        <f t="shared" si="1352"/>
        <v>0.52188750108611037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1.1441381774381527</v>
      </c>
      <c r="G1283" s="1">
        <f t="shared" si="1352"/>
        <v>1.2031915949849852</v>
      </c>
      <c r="H1283" s="1">
        <f t="shared" si="1352"/>
        <v>1.194175920431225</v>
      </c>
      <c r="I1283" s="1">
        <f t="shared" si="1352"/>
        <v>1.1967521121017011</v>
      </c>
      <c r="J1283" s="1">
        <f t="shared" si="1352"/>
        <v>1.2493173527592649</v>
      </c>
      <c r="K1283" s="1">
        <f t="shared" si="1352"/>
        <v>0.92958727016812115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1.5508736866467998</v>
      </c>
      <c r="G1284" s="1">
        <f t="shared" si="1352"/>
        <v>2.0357158990171547</v>
      </c>
      <c r="H1284" s="1">
        <f t="shared" si="1352"/>
        <v>1.9188931911416438</v>
      </c>
      <c r="I1284" s="1">
        <f t="shared" si="1352"/>
        <v>1.9060714258554157</v>
      </c>
      <c r="J1284" s="1">
        <f t="shared" si="1352"/>
        <v>1.8896520608377056</v>
      </c>
      <c r="K1284" s="1">
        <f t="shared" si="1352"/>
        <v>1.8527625905024974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1.8877624821563419</v>
      </c>
      <c r="G1285" s="1">
        <f t="shared" si="1352"/>
        <v>2.4908924136009709</v>
      </c>
      <c r="H1285" s="1">
        <f t="shared" si="1352"/>
        <v>2.4848666082557855</v>
      </c>
      <c r="I1285" s="1">
        <f t="shared" si="1352"/>
        <v>2.4941969647471804</v>
      </c>
      <c r="J1285" s="1">
        <f t="shared" si="1352"/>
        <v>2.5462996786807182</v>
      </c>
      <c r="K1285" s="1">
        <f t="shared" si="1352"/>
        <v>1.0310898257578396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1.1268557158591599</v>
      </c>
      <c r="G1286" s="1">
        <f t="shared" si="1352"/>
        <v>1.35724962649442</v>
      </c>
      <c r="H1286" s="1">
        <f t="shared" si="1352"/>
        <v>1.3532326318447518</v>
      </c>
      <c r="I1286" s="1">
        <f t="shared" si="1352"/>
        <v>1.3386504040750249</v>
      </c>
      <c r="J1286" s="1">
        <f t="shared" si="1352"/>
        <v>1.5838769396560306</v>
      </c>
      <c r="K1286" s="1">
        <f t="shared" si="1352"/>
        <v>0.84073813879343651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0.28603940550919488</v>
      </c>
      <c r="G1287" s="1">
        <f t="shared" si="1352"/>
        <v>0.29254854993039719</v>
      </c>
      <c r="H1287" s="1">
        <f t="shared" si="1352"/>
        <v>0.30231226656220073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0.6821550247620406</v>
      </c>
      <c r="G1288" s="1">
        <f t="shared" si="1352"/>
        <v>0.67129245149886219</v>
      </c>
      <c r="H1288" s="1">
        <f t="shared" si="1352"/>
        <v>0.62173094800250661</v>
      </c>
      <c r="I1288" s="1">
        <f t="shared" si="1352"/>
        <v>0.62130289205994338</v>
      </c>
      <c r="J1288" s="1">
        <f t="shared" si="1352"/>
        <v>0.59937571529397193</v>
      </c>
      <c r="K1288" s="1">
        <f t="shared" si="1352"/>
        <v>0.5989546725660122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0.60190800329662242</v>
      </c>
      <c r="G1289" s="1">
        <f t="shared" si="1352"/>
        <v>0.60446661122580303</v>
      </c>
      <c r="H1289" s="1">
        <f t="shared" si="1352"/>
        <v>0.59863564706726036</v>
      </c>
      <c r="I1289" s="1">
        <f t="shared" si="1352"/>
        <v>0.60191682940094027</v>
      </c>
      <c r="J1289" s="1">
        <f t="shared" si="1352"/>
        <v>0.56823467120726046</v>
      </c>
      <c r="K1289" s="1">
        <f t="shared" si="1352"/>
        <v>0.55323566929547119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0.51517928415501102</v>
      </c>
      <c r="G1290" s="1">
        <f t="shared" si="1352"/>
        <v>0.51601677440768179</v>
      </c>
      <c r="H1290" s="1">
        <f t="shared" si="1352"/>
        <v>0.51490064657910983</v>
      </c>
      <c r="I1290" s="1">
        <f t="shared" si="1352"/>
        <v>0.51880082198905297</v>
      </c>
      <c r="J1290" s="1">
        <f t="shared" si="1352"/>
        <v>0.51526891431188171</v>
      </c>
      <c r="K1290" s="1">
        <f t="shared" si="1352"/>
        <v>0.47736271880678732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0.43336173053344407</v>
      </c>
      <c r="G1291" s="1">
        <f t="shared" si="1352"/>
        <v>0.4333190830909367</v>
      </c>
      <c r="H1291" s="1">
        <f t="shared" si="1352"/>
        <v>0.43392562900851911</v>
      </c>
      <c r="I1291" s="1">
        <f t="shared" si="1352"/>
        <v>0.43700406825151805</v>
      </c>
      <c r="J1291" s="1">
        <f t="shared" si="1352"/>
        <v>0.43409784220875541</v>
      </c>
      <c r="K1291" s="1">
        <f t="shared" si="1352"/>
        <v>0.43445158568710213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0.5183762762553521</v>
      </c>
      <c r="H1292" s="1">
        <f t="shared" si="1352"/>
        <v>0.5389655471983591</v>
      </c>
      <c r="I1292" s="1">
        <f t="shared" si="1352"/>
        <v>0.56528351441758495</v>
      </c>
      <c r="J1292" s="1">
        <f t="shared" si="1352"/>
        <v>0.57288556460622719</v>
      </c>
      <c r="K1292" s="1">
        <f t="shared" si="1352"/>
        <v>0.59726283410655556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0.41733711223535003</v>
      </c>
      <c r="H1293" s="1">
        <f t="shared" si="1352"/>
        <v>0.43717544405880149</v>
      </c>
      <c r="I1293" s="1">
        <f t="shared" si="1352"/>
        <v>0.45615409852750999</v>
      </c>
      <c r="J1293" s="1">
        <f t="shared" si="1352"/>
        <v>0.46046650836380409</v>
      </c>
      <c r="K1293" s="1">
        <f t="shared" si="1352"/>
        <v>0.48035415476646415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0.38796990995538633</v>
      </c>
      <c r="H1294" s="1">
        <f t="shared" si="1352"/>
        <v>0.40563929759806211</v>
      </c>
      <c r="I1294" s="1">
        <f t="shared" si="1352"/>
        <v>0.42137693031469015</v>
      </c>
      <c r="J1294" s="1">
        <f t="shared" si="1352"/>
        <v>0.42597985003695343</v>
      </c>
      <c r="K1294" s="1">
        <f t="shared" si="1352"/>
        <v>0.44591660404234434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0.39332458747711413</v>
      </c>
      <c r="H1295" s="1">
        <f t="shared" si="1352"/>
        <v>0.41141809771634147</v>
      </c>
      <c r="I1295" s="1">
        <f t="shared" si="1352"/>
        <v>0.42598835195712997</v>
      </c>
      <c r="J1295" s="1">
        <f t="shared" si="1352"/>
        <v>0.43014581525086826</v>
      </c>
      <c r="K1295" s="1">
        <f t="shared" si="1352"/>
        <v>0.44933441474006608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0.41824117647058834</v>
      </c>
      <c r="G1297" s="1">
        <f t="shared" si="1367"/>
        <v>1.6972106708620849</v>
      </c>
      <c r="H1297" s="1">
        <f t="shared" si="1367"/>
        <v>1.67664823781591</v>
      </c>
      <c r="I1297" s="1">
        <f t="shared" si="1367"/>
        <v>1.6332737240749249</v>
      </c>
      <c r="J1297" s="1">
        <f t="shared" si="1367"/>
        <v>1.6832195679322177</v>
      </c>
      <c r="K1297" s="1">
        <f t="shared" si="1367"/>
        <v>1.002323923380672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1.2066892700371572</v>
      </c>
      <c r="G1298" s="1">
        <f t="shared" si="1367"/>
        <v>2.6801529982451084</v>
      </c>
      <c r="H1298" s="1">
        <f t="shared" si="1367"/>
        <v>2.2427152848250893</v>
      </c>
      <c r="I1298" s="1">
        <f t="shared" si="1367"/>
        <v>2.2214909987122908</v>
      </c>
      <c r="J1298" s="1">
        <f t="shared" si="1367"/>
        <v>2.1540541953779169</v>
      </c>
      <c r="K1298" s="1">
        <f t="shared" si="1367"/>
        <v>1.9480476726820848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0.90007242702117152</v>
      </c>
      <c r="G1299" s="1">
        <f t="shared" si="1367"/>
        <v>1.2801146944078701</v>
      </c>
      <c r="H1299" s="1">
        <f t="shared" si="1367"/>
        <v>1.2742793128012071</v>
      </c>
      <c r="I1299" s="1">
        <f t="shared" si="1367"/>
        <v>1.2954655429036963</v>
      </c>
      <c r="J1299" s="1">
        <f t="shared" si="1367"/>
        <v>1.449839164893435</v>
      </c>
      <c r="K1299" s="1">
        <f t="shared" si="1367"/>
        <v>0.87183885990591692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1.343942505866716</v>
      </c>
      <c r="G1300" s="1">
        <f t="shared" si="1367"/>
        <v>1.5938245938064621</v>
      </c>
      <c r="H1300" s="1">
        <f t="shared" si="1367"/>
        <v>1.5762590379050252</v>
      </c>
      <c r="I1300" s="1">
        <f t="shared" si="1367"/>
        <v>1.5654661704063655</v>
      </c>
      <c r="J1300" s="1">
        <f t="shared" si="1367"/>
        <v>1.5689530508349794</v>
      </c>
      <c r="K1300" s="1">
        <f t="shared" si="1367"/>
        <v>0.87454755979940113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0.33901850024086033</v>
      </c>
      <c r="G1301" s="1">
        <f t="shared" si="1367"/>
        <v>0.35391427166601108</v>
      </c>
      <c r="H1301" s="1">
        <f t="shared" si="1367"/>
        <v>0.37625792880373715</v>
      </c>
      <c r="I1301" s="1">
        <f t="shared" si="1367"/>
        <v>0.41349735736661469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0.75540866553654085</v>
      </c>
      <c r="G1302" s="1">
        <f t="shared" si="1367"/>
        <v>0.89223981185896273</v>
      </c>
      <c r="H1302" s="1">
        <f t="shared" si="1367"/>
        <v>0.86362182769459039</v>
      </c>
      <c r="I1302" s="1">
        <f t="shared" si="1367"/>
        <v>0.82664220508589381</v>
      </c>
      <c r="J1302" s="1">
        <f t="shared" si="1367"/>
        <v>0.8110563802768006</v>
      </c>
      <c r="K1302" s="1">
        <f t="shared" si="1367"/>
        <v>0.68059041379695451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0.70442969851377835</v>
      </c>
      <c r="G1303" s="1">
        <f t="shared" si="1367"/>
        <v>0.70423137069084896</v>
      </c>
      <c r="H1303" s="1">
        <f t="shared" si="1367"/>
        <v>0.73076069021510393</v>
      </c>
      <c r="I1303" s="1">
        <f t="shared" si="1367"/>
        <v>0.75826343868059731</v>
      </c>
      <c r="J1303" s="1">
        <f t="shared" si="1367"/>
        <v>0.82200869666834353</v>
      </c>
      <c r="K1303" s="1">
        <f t="shared" si="1367"/>
        <v>0.56435143803010013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0.53457513862984896</v>
      </c>
      <c r="G1304" s="1">
        <f t="shared" si="1367"/>
        <v>0.53250969529025982</v>
      </c>
      <c r="H1304" s="1">
        <f t="shared" si="1367"/>
        <v>0.53204770955826919</v>
      </c>
      <c r="I1304" s="1">
        <f t="shared" si="1367"/>
        <v>0.54125258805036658</v>
      </c>
      <c r="J1304" s="1">
        <f t="shared" si="1367"/>
        <v>0.59095583843494814</v>
      </c>
      <c r="K1304" s="1">
        <f t="shared" si="1367"/>
        <v>0.48791707973276366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0.46603368665222272</v>
      </c>
      <c r="G1305" s="1">
        <f t="shared" si="1367"/>
        <v>0.45566787587955337</v>
      </c>
      <c r="H1305" s="1">
        <f t="shared" si="1367"/>
        <v>0.45673785723063343</v>
      </c>
      <c r="I1305" s="1">
        <f t="shared" si="1367"/>
        <v>0.46957131754260217</v>
      </c>
      <c r="J1305" s="1">
        <f t="shared" si="1367"/>
        <v>0.39076888566353057</v>
      </c>
      <c r="K1305" s="1">
        <f t="shared" si="1367"/>
        <v>0.42194054537038267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0.56203544748554657</v>
      </c>
      <c r="H1306" s="1">
        <f t="shared" si="1367"/>
        <v>0.57975967745795398</v>
      </c>
      <c r="I1306" s="1">
        <f t="shared" si="1367"/>
        <v>0.60263966164380267</v>
      </c>
      <c r="J1306" s="1">
        <f t="shared" si="1367"/>
        <v>0.60954960433517191</v>
      </c>
      <c r="K1306" s="1">
        <f t="shared" si="1367"/>
        <v>0.63193630721003913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0.45210145766281418</v>
      </c>
      <c r="H1307" s="1">
        <f t="shared" si="1367"/>
        <v>0.469074079580236</v>
      </c>
      <c r="I1307" s="1">
        <f t="shared" si="1367"/>
        <v>0.48619334634659844</v>
      </c>
      <c r="J1307" s="1">
        <f t="shared" si="1367"/>
        <v>0.49070036389520683</v>
      </c>
      <c r="K1307" s="1">
        <f t="shared" si="1367"/>
        <v>0.50909165981294702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0.42028149632876965</v>
      </c>
      <c r="H1308" s="1">
        <f t="shared" si="1367"/>
        <v>0.43528079972999784</v>
      </c>
      <c r="I1308" s="1">
        <f t="shared" si="1367"/>
        <v>0.44974963617041996</v>
      </c>
      <c r="J1308" s="1">
        <f t="shared" si="1367"/>
        <v>0.45454022971275354</v>
      </c>
      <c r="K1308" s="1">
        <f t="shared" si="1367"/>
        <v>0.47298201691033859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0.39943403925494758</v>
      </c>
      <c r="H1309" s="1">
        <f t="shared" si="1367"/>
        <v>0.4131008430275957</v>
      </c>
      <c r="I1309" s="1">
        <f t="shared" si="1367"/>
        <v>0.42734120086656319</v>
      </c>
      <c r="J1309" s="1">
        <f t="shared" si="1367"/>
        <v>0.43190314401291058</v>
      </c>
      <c r="K1309" s="1">
        <f t="shared" si="1367"/>
        <v>0.44923030490600718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0.61656032864462851</v>
      </c>
      <c r="G1311" s="1">
        <f t="shared" si="1382"/>
        <v>0.19025676890875068</v>
      </c>
      <c r="H1311" s="1">
        <f t="shared" si="1382"/>
        <v>7.5301845244568358E-2</v>
      </c>
      <c r="I1311" s="1">
        <f t="shared" si="1382"/>
        <v>1.8115656703466751E-2</v>
      </c>
      <c r="J1311" s="1">
        <f t="shared" si="1382"/>
        <v>1.3834928003153838E-2</v>
      </c>
      <c r="K1311" s="1">
        <f t="shared" si="1382"/>
        <v>8.1739838997860973E-3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0.63151391563274828</v>
      </c>
      <c r="G1312" s="1">
        <f t="shared" si="1382"/>
        <v>0.12929904212564414</v>
      </c>
      <c r="H1312" s="1">
        <f t="shared" si="1382"/>
        <v>2.732657590994057E-2</v>
      </c>
      <c r="I1312" s="1">
        <f t="shared" si="1382"/>
        <v>1.3786354759005178E-3</v>
      </c>
      <c r="J1312" s="1">
        <f t="shared" si="1382"/>
        <v>1.7926626770633182E-4</v>
      </c>
      <c r="K1312" s="1">
        <f t="shared" si="1382"/>
        <v>3.7492215944942788E-5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0.47056987042427928</v>
      </c>
      <c r="G1313" s="1">
        <f t="shared" si="1382"/>
        <v>3.4170099885374963E-2</v>
      </c>
      <c r="H1313" s="1">
        <f t="shared" si="1382"/>
        <v>2.7924292660528476E-2</v>
      </c>
      <c r="I1313" s="1">
        <f t="shared" si="1382"/>
        <v>1.8651442645277228E-2</v>
      </c>
      <c r="J1313" s="1">
        <f t="shared" si="1382"/>
        <v>3.1563263404313868E-2</v>
      </c>
      <c r="K1313" s="1">
        <f t="shared" si="1382"/>
        <v>1.7595320744387917E-2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0.68274326207822844</v>
      </c>
      <c r="G1314" s="1">
        <f t="shared" si="1382"/>
        <v>0.29449822800235975</v>
      </c>
      <c r="H1314" s="1">
        <f t="shared" si="1382"/>
        <v>0.27360066993833476</v>
      </c>
      <c r="I1314" s="1">
        <f t="shared" si="1382"/>
        <v>0.1180800332741094</v>
      </c>
      <c r="J1314" s="1">
        <f t="shared" si="1382"/>
        <v>0.34709178588566908</v>
      </c>
      <c r="K1314" s="1">
        <f t="shared" si="1382"/>
        <v>0.15300941713287655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0.76963100812308505</v>
      </c>
      <c r="G1315" s="3">
        <f t="shared" ref="G1315:K1315" si="1390">G1316+G1322+G1327+G1341</f>
        <v>1.2426443919417429</v>
      </c>
      <c r="H1315" s="3">
        <f t="shared" si="1390"/>
        <v>2.1644975272534142</v>
      </c>
      <c r="I1315" s="3">
        <f t="shared" si="1390"/>
        <v>1.2009294726830784</v>
      </c>
      <c r="J1315" s="3">
        <f t="shared" si="1390"/>
        <v>2.099896693906341</v>
      </c>
      <c r="K1315" s="3">
        <f t="shared" si="1390"/>
        <v>1.2574985157537462</v>
      </c>
      <c r="L1315" s="3">
        <f t="shared" ref="L1315" si="1391">L1316+L1322+L1327+L1341</f>
        <v>1.1905507517847593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1.5688690474607692E-2</v>
      </c>
      <c r="G1316" s="1">
        <f t="shared" ref="G1316:K1316" si="1392">SUM(G1317:G1321)</f>
        <v>6.8219399331181763E-2</v>
      </c>
      <c r="H1316" s="1">
        <f t="shared" si="1392"/>
        <v>0.11922833806876831</v>
      </c>
      <c r="I1316" s="1">
        <f t="shared" si="1392"/>
        <v>1.1924903328379295</v>
      </c>
      <c r="J1316" s="1">
        <f t="shared" si="1392"/>
        <v>0.80170964719046334</v>
      </c>
      <c r="K1316" s="1">
        <f t="shared" si="1392"/>
        <v>1.1966982527894885</v>
      </c>
      <c r="L1316" s="1">
        <f t="shared" ref="L1316" si="1393">SUM(L1317:L1321)</f>
        <v>1.1613752818980851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4.9389053266720774E-4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5.0514049158053328E-4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4.9380192075901719E-4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5.5770089166643053E-5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3.2695543653846922E-2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4.662099818298291E-2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0.23800502487370898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0.24723391117669316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0.23960130313740388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0.23798469854506352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2.4114276961859889E-3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8.7002386186926829E-3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2.4859355223832098E-2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0.12427537942333484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0.11111488939123114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0.12796626939880817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0.12360525430814054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1.124793842669136E-2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2.1967993787638643E-2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3.9900623509673903E-2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0.80531207199989374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0.44308052622613142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0.82889357674501474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0.79962819784092776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1.4796637298964924E-3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4.3504827794229933E-3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7.3535592315203662E-3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2.4897856540991838E-2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2.8032039640757465E-4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2.3710350826181963E-4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1.5713120395354795E-4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5.5006312076088962E-4</v>
      </c>
      <c r="J1322" s="1">
        <f t="shared" si="1396"/>
        <v>1.2532749803070596E-5</v>
      </c>
      <c r="K1322" s="1">
        <f t="shared" si="1396"/>
        <v>0</v>
      </c>
      <c r="L1322" s="1">
        <f t="shared" ref="L1322" si="1397">SUM(L1323:L1326)</f>
        <v>1.5334472320274772E-5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1.2057647434999166E-4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7.3718676649588279E-6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1.043825120630263E-4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1.6145010233653467E-4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5.1608821381117688E-6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1.5334472320274772E-5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1.6365403201133697E-4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0.7536227296849396</v>
      </c>
      <c r="G1327" s="1">
        <f t="shared" ref="G1327:K1327" si="1398">SUM(G1332:G1340)</f>
        <v>1.1676086215176547</v>
      </c>
      <c r="H1327" s="1">
        <f t="shared" si="1398"/>
        <v>2.0203601521409085</v>
      </c>
      <c r="I1327" s="1">
        <f t="shared" si="1398"/>
        <v>4.5466620915683631E-3</v>
      </c>
      <c r="J1327" s="1">
        <f t="shared" si="1398"/>
        <v>1.2903908345791006</v>
      </c>
      <c r="K1327" s="1">
        <f t="shared" si="1398"/>
        <v>5.8430695643280309E-2</v>
      </c>
      <c r="L1327" s="1">
        <f t="shared" ref="L1327" si="1399">SUM(L1332:L1340)</f>
        <v>2.860236198349778E-2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0.73543053449855811</v>
      </c>
      <c r="G1328" s="1">
        <f t="shared" ref="G1328:L1328" si="1400">IF(G1327-G1329&lt;0,0,G1327-G1329)</f>
        <v>1.1371675803683441</v>
      </c>
      <c r="H1328" s="1">
        <f t="shared" si="1400"/>
        <v>1.9300792157017936</v>
      </c>
      <c r="I1328" s="1">
        <f t="shared" si="1400"/>
        <v>4.3178634765088913E-3</v>
      </c>
      <c r="J1328" s="1">
        <f t="shared" si="1400"/>
        <v>1.1832951322080656</v>
      </c>
      <c r="K1328" s="1">
        <f t="shared" si="1400"/>
        <v>4.9391533361988003E-2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1.8192195186381478E-2</v>
      </c>
      <c r="G1329" s="1">
        <f t="shared" ref="G1329" si="1401">SUM(G1330:G1331)</f>
        <v>3.0441041149310507E-2</v>
      </c>
      <c r="H1329" s="1">
        <f t="shared" ref="H1329" si="1402">SUM(H1330:H1331)</f>
        <v>9.0280936439114792E-2</v>
      </c>
      <c r="I1329" s="1">
        <f t="shared" ref="I1329" si="1403">SUM(I1330:I1331)</f>
        <v>2.2879861505947143E-4</v>
      </c>
      <c r="J1329" s="1">
        <f t="shared" ref="J1329" si="1404">SUM(J1330:J1331)</f>
        <v>0.10709570237103506</v>
      </c>
      <c r="K1329" s="1">
        <f t="shared" ref="K1329:L1329" si="1405">SUM(K1330:K1331)</f>
        <v>9.0391622812923036E-3</v>
      </c>
      <c r="L1329" s="1">
        <f t="shared" si="1405"/>
        <v>3.3997748721800961E-2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1.8192195186381478E-2</v>
      </c>
      <c r="G1330" s="1">
        <f>[1]Transport!C$26/SUM([1]Transport!C$22,[1]Transport!C$26)*G1327*(G$34+G$582)/(G$34+G$582+G$38)</f>
        <v>3.0441041149310507E-2</v>
      </c>
      <c r="H1330" s="1">
        <f>[1]Transport!D$26/SUM([1]Transport!D$22,[1]Transport!D$26)*H1327*(H$34+H$582)/(H$34+H$582+H$38)</f>
        <v>9.0280936439114792E-2</v>
      </c>
      <c r="I1330" s="1">
        <f>[1]Transport!E$26/SUM([1]Transport!E$22,[1]Transport!E$26)*I1327*(I$34+I$582)/(I$34+I$582+I$38)</f>
        <v>2.2879861505947143E-4</v>
      </c>
      <c r="J1330" s="1">
        <f>[2]Transport!F$26/SUM([2]Transport!F$22,[2]Transport!F$26)*J1327*(J$34+J$582)/(J$34+J$582+J$38)</f>
        <v>0.10709570237103506</v>
      </c>
      <c r="K1330" s="1">
        <f>[2]Transport!G$26/SUM([2]Transport!G$22,[2]Transport!G$26)*K1327*(K$34+K$582)/(K$34+K$582+K$38)</f>
        <v>9.0243739238698838E-3</v>
      </c>
      <c r="L1330" s="1">
        <f>[2]Transport!H$26/SUM([2]Transport!H$22,[2]Transport!H$26)*L1327*(L$34+L$582)/(L$34+L$582+L$38)</f>
        <v>1.2160371030324814E-2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1.4788357422419283E-5</v>
      </c>
      <c r="L1331" s="1">
        <f>(L$38+L$718)/([2]Transport!H$22+[2]Transport!H$26)*L1327</f>
        <v>2.1837377691476145E-2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4.2367945554122557E-2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5.0839923821335009E-2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1.0684298667244189E-4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2.0687247009590096E-5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2.2485095674658597E-5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9.3249326269168571E-6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2.8313002971595458E-3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6.1706592954065016E-3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1.9302365924091347E-4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1.977209902174954E-5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1.9931117777831815E-5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9.3598356812510105E-6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5.2518818332171081E-3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8.9233025831578581E-3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5.0925688129633997E-4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3.0840314885524986E-5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3.0432727195332213E-5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4.4476549577757423E-4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9.0773491903551413E-4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4.1127198295730155E-4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1.7811672914856957E-5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1.7323535843650411E-2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1.7309620658331071E-2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1.7205303809380557E-2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8.0300332306343218E-4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0.1117262963017483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0.2598213870236698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1.3768028025773447E-4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4.6856898764945686E-3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5.6321125938316625E-2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2.7928659688512388E-2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0.10205634371657067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0.11199998618001675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0.16278872147502296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9.190708875387811E-4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4.6304653110261183E-2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1.1664343406045617E-3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3.9190169824669885E-4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0.617997995815463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0.87174173094889229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1.5070067580689368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1.2338394954341072E-3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1.2392181749132314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8.1603393523796875E-4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1.8008825835116621E-4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1.5441850986192118E-2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3.9350942483893777E-3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6.696361144963723E-3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1.0356759181707432E-3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1.1101701819657701E-4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8.4685215668667163E-5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3.4783169969172419E-5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3.1958796353785218E-4</v>
      </c>
      <c r="G1341" s="1">
        <f t="shared" ref="G1341:K1341" si="1406">SUM(G1346:G1350)</f>
        <v>6.8163710929064966E-3</v>
      </c>
      <c r="H1341" s="1">
        <f t="shared" si="1406"/>
        <v>2.4909037043737349E-2</v>
      </c>
      <c r="I1341" s="1">
        <f t="shared" si="1406"/>
        <v>3.3424146328196775E-3</v>
      </c>
      <c r="J1341" s="1">
        <f t="shared" si="1406"/>
        <v>7.7836793869739988E-3</v>
      </c>
      <c r="K1341" s="1">
        <f t="shared" si="1406"/>
        <v>2.3695673209773349E-3</v>
      </c>
      <c r="L1341" s="1">
        <f t="shared" ref="L1341" si="1407">SUM(L1346:L1350)</f>
        <v>5.5777343085601852E-4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2.9386180202665757E-4</v>
      </c>
      <c r="G1342" s="1">
        <f t="shared" ref="G1342:L1342" si="1408">IF(G1341-G1343&lt;0,0,G1341-G1343)</f>
        <v>6.1515998544094466E-3</v>
      </c>
      <c r="H1342" s="1">
        <f t="shared" si="1408"/>
        <v>2.2579084705890762E-2</v>
      </c>
      <c r="I1342" s="1">
        <f t="shared" si="1408"/>
        <v>2.7831706007222265E-3</v>
      </c>
      <c r="J1342" s="1">
        <f t="shared" si="1408"/>
        <v>0</v>
      </c>
      <c r="K1342" s="1">
        <f t="shared" si="1408"/>
        <v>0</v>
      </c>
      <c r="L1342" s="1">
        <f t="shared" si="1408"/>
        <v>0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2.572616151119462E-5</v>
      </c>
      <c r="G1343" s="1">
        <f t="shared" ref="G1343" si="1409">SUM(G1344:G1345)</f>
        <v>6.6477123849704989E-4</v>
      </c>
      <c r="H1343" s="1">
        <f t="shared" ref="H1343" si="1410">SUM(H1344:H1345)</f>
        <v>2.3299523378465885E-3</v>
      </c>
      <c r="I1343" s="1">
        <f t="shared" ref="I1343" si="1411">SUM(I1344:I1345)</f>
        <v>5.5924403209745108E-4</v>
      </c>
      <c r="J1343" s="1">
        <f t="shared" ref="J1343" si="1412">SUM(J1344:J1345)</f>
        <v>7.2033019423253186E-2</v>
      </c>
      <c r="K1343" s="1">
        <f t="shared" ref="K1343:L1343" si="1413">SUM(K1344:K1345)</f>
        <v>0.82885043190166541</v>
      </c>
      <c r="L1343" s="1">
        <f t="shared" si="1413"/>
        <v>2.8000250892477663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2.572616151119462E-5</v>
      </c>
      <c r="G1344" s="1">
        <f>[1]Transport!C$27/SUM([1]Transport!C$24,[1]Transport!C$27)*G1341*(G$47+G$614)/(G$47+G$614+G$49)</f>
        <v>6.6477123849704989E-4</v>
      </c>
      <c r="H1344" s="1">
        <f>[1]Transport!D$27/SUM([1]Transport!D$24,[1]Transport!D$27)*H1341*(H$47+H$614)/(H$47+H$614+H$49)</f>
        <v>2.3299523378465885E-3</v>
      </c>
      <c r="I1344" s="1">
        <f>[1]Transport!E$27/SUM([1]Transport!E$24,[1]Transport!E$27)*I1341*(I$47+I$614)/(I$47+I$614+I$49)</f>
        <v>5.5924403209745108E-4</v>
      </c>
      <c r="J1344" s="1">
        <f>[2]Transport!F$27/SUM([2]Transport!F$24,[2]Transport!F$27)*J1341*(J$47+J$614)/(J$47+J$614+J$49)</f>
        <v>1.5608008396884681E-3</v>
      </c>
      <c r="K1344" s="1">
        <f>[2]Transport!G$27/SUM([2]Transport!G$24,[2]Transport!G$27)*K1341*(K$47+K$614)/(K$47+K$614+K$49)</f>
        <v>7.0010171245142756E-4</v>
      </c>
      <c r="L1344" s="1">
        <f>[2]Transport!H$27/SUM([2]Transport!H$24,[2]Transport!H$27)*L1341*(L$47+L$614)/(L$47+L$614+L$49)</f>
        <v>2.7763280618853118E-4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7.0472218583564714E-2</v>
      </c>
      <c r="K1345" s="1">
        <f>(K$49+K$716)/([2]Transport!G$24+[2]Transport!G$27)*K1341</f>
        <v>0.82815033018921402</v>
      </c>
      <c r="L1345" s="1">
        <f>(L$49+L$716)/([2]Transport!H$24+[2]Transport!H$27)*L1341</f>
        <v>2.7997474564415779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3.1958796353785218E-4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3.2660113027697339E-4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3.2884410245894943E-4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2.3781197463432296E-3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5.0984103155730749E-3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5.282311773662521E-4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3.0219522892926181E-3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7.9055556168361604E-4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2.2132010491403308E-4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1.4647888631091652E-3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5.2084729214573371E-3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6.3755287099338679E-4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1.6693212233428996E-3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6.5089132486024527E-4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1.8060190726638028E-4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2.1356870167187924E-3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1.2813199461561493E-2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1.1735769637990902E-3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2.9934565900646692E-3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8.30732180201488E-4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1.1864429048889884E-4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5.1117433645833687E-4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1.460110242686498E-3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1.0030536206609487E-3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9.894928427381242E-5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9.7388254231985788E-5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3.720712818670627E-5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0.2968795183905088</v>
      </c>
      <c r="G1351" s="3">
        <f t="shared" ref="G1351:K1351" si="1414">SUM(G1352:G1374)</f>
        <v>0.30219222541584206</v>
      </c>
      <c r="H1351" s="3">
        <f t="shared" si="1414"/>
        <v>0.31021463884339934</v>
      </c>
      <c r="I1351" s="3">
        <f t="shared" si="1414"/>
        <v>0.32357821960057503</v>
      </c>
      <c r="J1351" s="3">
        <f t="shared" si="1414"/>
        <v>0.34546711539720465</v>
      </c>
      <c r="K1351" s="3">
        <f t="shared" si="1414"/>
        <v>0.35997056406037709</v>
      </c>
      <c r="L1351" s="3">
        <f t="shared" ref="L1351" si="1415">SUM(L1352:L1374)</f>
        <v>0.38478346352457576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2.069699747680074E-3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1.7042181035781467E-3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1.0609188645374344E-3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2.1119754479936794E-5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1.283020964777295E-2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1.8584211028950502E-2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0.1062158456128276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0.11641527335743844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0.11319166420893251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0.12635213596171341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6.6357837340836234E-4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2.4576348014040939E-3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7.3009697464081775E-3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3.9731281503223435E-2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3.7855990034848949E-2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4.4020953022450682E-2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4.7199022813989015E-2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2.0580398733543699E-3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4.0806278617089211E-3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7.6555854267575827E-3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0.17344254537374912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0.10076393760319366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0.19311810453921491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0.20652960023812056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1.8049989694102938E-4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5.4294037456633281E-4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9.4230311089095193E-4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3.5501880638219097E-3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4.2099741342553559E-5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3.7169826793695922E-5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2.6645984447651043E-5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2.8263338012571438E-5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1.8177623271677515E-6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1.7651240878267877E-5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1.8261361362408397E-5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5.9499833716126006E-7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2.1991999608744433E-6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1.2420792818835754E-5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6.8853715802157343E-3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8.3313308665358826E-3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1.8410561254178524E-5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4.0035039950572942E-6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4.6015392447491383E-6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1.9061687714656671E-6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3.2982931096350827E-4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7.3770140373026569E-4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2.3993739364750304E-5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2.7562059017261521E-6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2.9233395085955359E-6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1.3728270409096857E-6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4.108853246442473E-4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7.1223003643087286E-4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4.2756586093244895E-5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2.8919934898859749E-6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3.0046837948611124E-6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2.3462020289192208E-5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4.9018131399460307E-5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2.3209544856457946E-5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1.1876247355720163E-6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0.24198694105284999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0.19368767145318413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0.12079792672857369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9.9507503282491807E-5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1.4355094916924624E-2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3.4402343355592377E-2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1.7568474188955871E-5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6.711190927017114E-4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9.157986897658052E-3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4.5449018348563529E-3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8.9264446046589084E-3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9.8384883571199025E-3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1.4514006426720464E-2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8.3368882041242053E-5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4.4238546945858043E-3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1.2806699744463991E-4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4.3940159765875032E-5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3.5812692154139132E-2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5.0688547996695775E-2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9.0661543101879502E-2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7.4926495595288692E-5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8.4485746846584081E-2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5.9974338003434736E-5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1.3537331150184E-5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5.9677320673333335E-4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1.53348900256659E-4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2.6267269298269107E-4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4.2226081591331143E-5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5.2701131967504286E-6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4.144741860037417E-6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1.7487641225602466E-6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4.4642222229811374E-3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3.653685563001728E-3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2.3066668016693188E-3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2.8593921996517571E-4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6.2856532996014274E-4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6.7452481415699098E-5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4.3299759880527312E-4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1.1657269741421898E-4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3.3177748241584717E-5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1.2450423545269407E-4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4.5760668100620395E-4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5.7425674646853255E-5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1.5981114954276906E-4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6.6865606389241762E-5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1.8896106926606861E-5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1.2050001788873909E-4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7.5260424562096924E-4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7.0223354229547531E-5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1.9448778143626357E-4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5.7037887734073165E-5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8.4187691423930028E-6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1.926573020955691E-5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5.6434863752907247E-5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4.0200438603369262E-5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4.4629194773413317E-6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4.4984177282318633E-6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1.7673077958973713E-6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21">IFERROR(G1352/G1317,"-")</f>
        <v>3.3737507326839338</v>
      </c>
      <c r="H1376" s="1">
        <f t="shared" si="1421"/>
        <v>2.1484705100107919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0.37869321701871772</v>
      </c>
      <c r="G1377" s="1">
        <f t="shared" si="1423"/>
        <v>0.39241462945557604</v>
      </c>
      <c r="H1377" s="1">
        <f t="shared" si="1423"/>
        <v>0.39862319026309284</v>
      </c>
      <c r="I1377" s="1">
        <f t="shared" si="1423"/>
        <v>0.4462756434205043</v>
      </c>
      <c r="J1377" s="1">
        <f t="shared" si="1423"/>
        <v>0.47087097721897364</v>
      </c>
      <c r="K1377" s="1">
        <f t="shared" si="1423"/>
        <v>0.47241673032145665</v>
      </c>
      <c r="L1377" s="1">
        <f t="shared" ref="L1377" si="1424">IFERROR(L1353/L1318,"-")</f>
        <v>0.53092546173840682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0.27518070496490715</v>
      </c>
      <c r="G1378" s="1">
        <f t="shared" si="1425"/>
        <v>0.28247901110709805</v>
      </c>
      <c r="H1378" s="1">
        <f t="shared" si="1425"/>
        <v>0.29369103424729631</v>
      </c>
      <c r="I1378" s="1">
        <f t="shared" si="1425"/>
        <v>0.31970356226297869</v>
      </c>
      <c r="J1378" s="1">
        <f t="shared" si="1425"/>
        <v>0.34069232523428522</v>
      </c>
      <c r="K1378" s="1">
        <f t="shared" si="1425"/>
        <v>0.34400434762428633</v>
      </c>
      <c r="L1378" s="1">
        <f t="shared" ref="L1378" si="1426">IFERROR(L1354/L1319,"-")</f>
        <v>0.38185288382906979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0.18297040713439905</v>
      </c>
      <c r="G1379" s="1">
        <f t="shared" si="1427"/>
        <v>0.18575332372886433</v>
      </c>
      <c r="H1379" s="1">
        <f t="shared" si="1427"/>
        <v>0.19186631068312721</v>
      </c>
      <c r="I1379" s="1">
        <f t="shared" si="1427"/>
        <v>0.21537308504891256</v>
      </c>
      <c r="J1379" s="1">
        <f t="shared" si="1427"/>
        <v>0.22741675979631654</v>
      </c>
      <c r="K1379" s="1">
        <f t="shared" si="1427"/>
        <v>0.23298299076893697</v>
      </c>
      <c r="L1379" s="1">
        <f t="shared" ref="L1379" si="1428">IFERROR(L1355/L1320,"-")</f>
        <v>0.25828203757167412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0.12198710645807069</v>
      </c>
      <c r="G1380" s="1">
        <f t="shared" si="1429"/>
        <v>0.12480002843232568</v>
      </c>
      <c r="H1380" s="1">
        <f t="shared" si="1429"/>
        <v>0.1281424520049903</v>
      </c>
      <c r="I1380" s="1">
        <f t="shared" si="1429"/>
        <v>0.14259010842868658</v>
      </c>
      <c r="J1380" s="1">
        <f t="shared" si="1429"/>
        <v>0.15018436718155256</v>
      </c>
      <c r="K1380" s="1">
        <f t="shared" si="1429"/>
        <v>0.15676624553632265</v>
      </c>
      <c r="L1380" s="1">
        <f t="shared" ref="L1380" si="1430">IFERROR(L1356/L1321,"-")</f>
        <v>0.16957793090879827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0.23440176174444091</v>
      </c>
      <c r="J1381" s="1">
        <f t="shared" si="1431"/>
        <v>0.24658097646112639</v>
      </c>
      <c r="K1381" s="1" t="str">
        <f t="shared" si="1431"/>
        <v>-</v>
      </c>
      <c r="L1381" s="1" t="str">
        <f t="shared" ref="L1381" si="1432">IFERROR(L1357/L1323,"-")</f>
        <v>-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>
        <f t="shared" si="1433"/>
        <v>0.1691015145104961</v>
      </c>
      <c r="J1382" s="1" t="str">
        <f t="shared" si="1433"/>
        <v>-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>
        <f t="shared" si="1435"/>
        <v>0.11310839137372303</v>
      </c>
      <c r="J1383" s="1">
        <f t="shared" si="1435"/>
        <v>0.11529004562366432</v>
      </c>
      <c r="K1383" s="1" t="str">
        <f t="shared" si="1435"/>
        <v>-</v>
      </c>
      <c r="L1383" s="1">
        <f t="shared" ref="L1383" si="1436">IFERROR(L1359/L1325,"-")</f>
        <v>0.14341543125463327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>
        <f t="shared" si="1437"/>
        <v>7.5896650184428788E-2</v>
      </c>
      <c r="J1384" s="1" t="str">
        <f t="shared" si="1437"/>
        <v>-</v>
      </c>
      <c r="K1384" s="1" t="str">
        <f t="shared" si="1437"/>
        <v>-</v>
      </c>
      <c r="L1384" s="1" t="str">
        <f t="shared" ref="L1384" si="1438">IFERROR(L1360/L1326,"-")</f>
        <v>-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0.16251369968883853</v>
      </c>
      <c r="H1385" s="1">
        <f t="shared" si="1439"/>
        <v>0.16387378737651911</v>
      </c>
      <c r="I1385" s="1">
        <f t="shared" si="1439"/>
        <v>0.17231417641498015</v>
      </c>
      <c r="J1385" s="1">
        <f t="shared" si="1439"/>
        <v>0.19352521837252529</v>
      </c>
      <c r="K1385" s="1">
        <f t="shared" si="1439"/>
        <v>0.20464841739300296</v>
      </c>
      <c r="L1385" s="1">
        <f t="shared" ref="L1385" si="1440">IFERROR(L1361/L1332,"-")</f>
        <v>0.20441635856578966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0.11649393435744133</v>
      </c>
      <c r="H1386" s="1">
        <f t="shared" si="1441"/>
        <v>0.11954985171186128</v>
      </c>
      <c r="I1386" s="1">
        <f t="shared" si="1441"/>
        <v>0.12430465497912688</v>
      </c>
      <c r="J1386" s="1">
        <f t="shared" si="1441"/>
        <v>0.13939875066851998</v>
      </c>
      <c r="K1386" s="1">
        <f t="shared" si="1441"/>
        <v>0.14667213054387701</v>
      </c>
      <c r="L1386" s="1">
        <f t="shared" ref="L1386" si="1442">IFERROR(L1362/L1333,"-")</f>
        <v>0.14667213054387696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7.8235828164578899E-2</v>
      </c>
      <c r="H1387" s="1">
        <f t="shared" si="1443"/>
        <v>7.9816864865163248E-2</v>
      </c>
      <c r="I1387" s="1">
        <f t="shared" si="1443"/>
        <v>8.3958779279340853E-2</v>
      </c>
      <c r="J1387" s="1">
        <f t="shared" si="1443"/>
        <v>9.3773150521343815E-2</v>
      </c>
      <c r="K1387" s="1" t="str">
        <f t="shared" si="1443"/>
        <v>-</v>
      </c>
      <c r="L1387" s="1">
        <f t="shared" ref="L1387" si="1444">IFERROR(L1363/L1334,"-")</f>
        <v>9.8731992554448825E-2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5.2751439830497751E-2</v>
      </c>
      <c r="H1388" s="1">
        <f t="shared" si="1445"/>
        <v>5.4000491081188123E-2</v>
      </c>
      <c r="I1388" s="1">
        <f t="shared" si="1445"/>
        <v>5.643356663774389E-2</v>
      </c>
      <c r="J1388" s="1" t="str">
        <f t="shared" si="1445"/>
        <v>-</v>
      </c>
      <c r="K1388" s="1" t="str">
        <f t="shared" si="1445"/>
        <v>-</v>
      </c>
      <c r="L1388" s="1">
        <f t="shared" ref="L1388" si="1446">IFERROR(L1364/L1335,"-")</f>
        <v>6.6676765357699924E-2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13.968680714886816</v>
      </c>
      <c r="G1389" s="1">
        <f t="shared" ref="G1389:K1389" si="1447">IFERROR(G1365/G1336,"-")</f>
        <v>11.189596541502647</v>
      </c>
      <c r="H1389" s="1">
        <f t="shared" si="1447"/>
        <v>7.020970281426421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0.12391916748597483</v>
      </c>
      <c r="G1390" s="1">
        <f t="shared" si="1449"/>
        <v>0.12848447851663006</v>
      </c>
      <c r="H1390" s="1">
        <f t="shared" si="1449"/>
        <v>0.13240766570327914</v>
      </c>
      <c r="I1390" s="1">
        <f t="shared" si="1449"/>
        <v>0.12760341681516099</v>
      </c>
      <c r="J1390" s="1">
        <f t="shared" si="1449"/>
        <v>0.14322738174976812</v>
      </c>
      <c r="K1390" s="1">
        <f t="shared" si="1449"/>
        <v>0.16260305072181896</v>
      </c>
      <c r="L1390" s="1">
        <f t="shared" ref="L1390" si="1450">IFERROR(L1366/L1337,"-")</f>
        <v>0.16273254375775725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8.7465847585616971E-2</v>
      </c>
      <c r="G1391" s="1">
        <f t="shared" si="1451"/>
        <v>8.7843656884980081E-2</v>
      </c>
      <c r="H1391" s="1">
        <f t="shared" si="1451"/>
        <v>8.9158550391019442E-2</v>
      </c>
      <c r="I1391" s="1">
        <f t="shared" si="1451"/>
        <v>9.0709958471755225E-2</v>
      </c>
      <c r="J1391" s="1">
        <f t="shared" si="1451"/>
        <v>9.553801610502663E-2</v>
      </c>
      <c r="K1391" s="1">
        <f t="shared" si="1451"/>
        <v>0.10979357601754326</v>
      </c>
      <c r="L1391" s="1">
        <f t="shared" ref="L1391" si="1452">IFERROR(L1367/L1338,"-")</f>
        <v>0.11212036069875632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5.7949527986548621E-2</v>
      </c>
      <c r="G1392" s="1">
        <f t="shared" si="1453"/>
        <v>5.8146290577968787E-2</v>
      </c>
      <c r="H1392" s="1">
        <f t="shared" si="1453"/>
        <v>6.0160010973044534E-2</v>
      </c>
      <c r="I1392" s="1">
        <f t="shared" si="1453"/>
        <v>6.0726290471782129E-2</v>
      </c>
      <c r="J1392" s="1">
        <f t="shared" si="1453"/>
        <v>6.8176652470820706E-2</v>
      </c>
      <c r="K1392" s="1">
        <f t="shared" si="1453"/>
        <v>7.3494906784661154E-2</v>
      </c>
      <c r="L1392" s="1">
        <f t="shared" ref="L1392" si="1454">IFERROR(L1368/L1339,"-")</f>
        <v>7.517053734723031E-2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3.8646481387947559E-2</v>
      </c>
      <c r="G1393" s="1">
        <f t="shared" si="1455"/>
        <v>3.8969562246043851E-2</v>
      </c>
      <c r="H1393" s="1">
        <f t="shared" si="1455"/>
        <v>3.9226183787928609E-2</v>
      </c>
      <c r="I1393" s="1">
        <f t="shared" si="1455"/>
        <v>4.0771520173909927E-2</v>
      </c>
      <c r="J1393" s="1">
        <f t="shared" si="1455"/>
        <v>4.7471219119024417E-2</v>
      </c>
      <c r="K1393" s="1">
        <f t="shared" si="1455"/>
        <v>4.894292146876987E-2</v>
      </c>
      <c r="L1393" s="1">
        <f t="shared" ref="L1393" si="1456">IFERROR(L1369/L1340,"-")</f>
        <v>5.0276157236679088E-2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13.968680714886787</v>
      </c>
      <c r="G1394" s="1">
        <f t="shared" ref="G1394:K1394" si="1457">IFERROR(G1370/G1346,"-")</f>
        <v>11.186996076539073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0.12023751974847217</v>
      </c>
      <c r="H1395" s="1">
        <f t="shared" si="1459"/>
        <v>0.12328653267474222</v>
      </c>
      <c r="I1395" s="1">
        <f t="shared" si="1459"/>
        <v>0.12769500231322115</v>
      </c>
      <c r="J1395" s="1">
        <f t="shared" si="1459"/>
        <v>0.14328406187598339</v>
      </c>
      <c r="K1395" s="1">
        <f t="shared" si="1459"/>
        <v>0.14745667865008572</v>
      </c>
      <c r="L1395" s="1">
        <f t="shared" ref="L1395" si="1460">IFERROR(L1371/L1347,"-")</f>
        <v>0.14990842451693162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8.499807623360886E-2</v>
      </c>
      <c r="H1396" s="1">
        <f t="shared" si="1461"/>
        <v>8.7858128074546085E-2</v>
      </c>
      <c r="I1396" s="1">
        <f t="shared" si="1461"/>
        <v>9.0072019528948083E-2</v>
      </c>
      <c r="J1396" s="1">
        <f t="shared" si="1461"/>
        <v>9.5734210592937408E-2</v>
      </c>
      <c r="K1396" s="1">
        <f t="shared" si="1461"/>
        <v>0.10272929417763967</v>
      </c>
      <c r="L1396" s="1">
        <f t="shared" ref="L1396" si="1462">IFERROR(L1372/L1348,"-")</f>
        <v>0.10462850150710697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5.6422133461237138E-2</v>
      </c>
      <c r="H1397" s="1">
        <f t="shared" si="1463"/>
        <v>5.873663700301536E-2</v>
      </c>
      <c r="I1397" s="1">
        <f t="shared" si="1463"/>
        <v>5.983702509141052E-2</v>
      </c>
      <c r="J1397" s="1">
        <f t="shared" si="1463"/>
        <v>6.4970971044568226E-2</v>
      </c>
      <c r="K1397" s="1">
        <f t="shared" si="1463"/>
        <v>6.8659778799274443E-2</v>
      </c>
      <c r="L1397" s="1">
        <f t="shared" ref="L1397" si="1464">IFERROR(L1373/L1349,"-")</f>
        <v>7.0958063870597457E-2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3.7689157759834363E-2</v>
      </c>
      <c r="H1398" s="1">
        <f t="shared" si="1465"/>
        <v>3.8651097775378354E-2</v>
      </c>
      <c r="I1398" s="1">
        <f t="shared" si="1465"/>
        <v>4.0078055425272006E-2</v>
      </c>
      <c r="J1398" s="1">
        <f t="shared" si="1465"/>
        <v>4.5103100139577995E-2</v>
      </c>
      <c r="K1398" s="1">
        <f t="shared" si="1465"/>
        <v>4.619055720535159E-2</v>
      </c>
      <c r="L1398" s="1">
        <f t="shared" ref="L1398" si="1466">IFERROR(L1374/L1350,"-")</f>
        <v>4.7499172390542424E-2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0.82268027692000445</v>
      </c>
      <c r="G1399" s="3">
        <f t="shared" ref="G1399" si="1467">G1400+G1406+G1411+G1425</f>
        <v>0.82234705698445332</v>
      </c>
      <c r="H1399" s="3">
        <f t="shared" ref="H1399" si="1468">H1400+H1406+H1411+H1425</f>
        <v>1.0022264330897186</v>
      </c>
      <c r="I1399" s="3">
        <f t="shared" ref="I1399" si="1469">I1400+I1406+I1411+I1425</f>
        <v>0.38450144962116312</v>
      </c>
      <c r="J1399" s="3">
        <f t="shared" ref="J1399" si="1470">J1400+J1406+J1411+J1425</f>
        <v>0.64019890411905167</v>
      </c>
      <c r="K1399" s="3">
        <f t="shared" ref="K1399:L1399" si="1471">K1400+K1406+K1411+K1425</f>
        <v>0.38737811916888598</v>
      </c>
      <c r="L1399" s="3">
        <f t="shared" si="1471"/>
        <v>0.33045674798798491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4.4888221055717379E-3</v>
      </c>
      <c r="G1400" s="1">
        <f t="shared" ref="G1400" si="1472">SUM(G1401:G1405)</f>
        <v>1.4299313280981912E-2</v>
      </c>
      <c r="H1400" s="1">
        <f t="shared" ref="H1400" si="1473">SUM(H1401:H1405)</f>
        <v>2.3410565994649808E-2</v>
      </c>
      <c r="I1400" s="1">
        <f t="shared" ref="I1400" si="1474">SUM(I1401:I1405)</f>
        <v>0.3795744890057503</v>
      </c>
      <c r="J1400" s="1">
        <f t="shared" ref="J1400" si="1475">SUM(J1401:J1405)</f>
        <v>0.24218774184148245</v>
      </c>
      <c r="K1400" s="1">
        <f t="shared" ref="K1400:L1400" si="1476">SUM(K1401:K1405)</f>
        <v>0.33880993387615332</v>
      </c>
      <c r="L1400" s="1">
        <f t="shared" si="1476"/>
        <v>0.30697350019059277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7.7605176806777251E-4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4.8493922540366078E-3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8.9666266559661045E-3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0.14441192451366688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0.1251217322672972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0.1227790341470979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0.11262613333267137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2.2797862956962425E-3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5.4014622191960885E-3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8.1850997088965538E-3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0.17730714657358523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8.989504461596437E-2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0.16368980593930815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0.14783564239855584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1.4329840418077231E-3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2.9856676865509242E-3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4.5414946749020501E-3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5.6761723069708468E-2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2.6915941608351535E-2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5.200295278148713E-2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4.6379618280168351E-2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1.0627911211982919E-3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1.717344954885097E-3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1.0936948487897124E-3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2.5502334986934725E-4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3.3814100826012888E-4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1.3210617919726035E-4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4.636933561803163E-4</v>
      </c>
      <c r="J1406" s="1">
        <f t="shared" ref="J1406" si="1482">SUM(J1407:J1410)</f>
        <v>5.0673422177883445E-6</v>
      </c>
      <c r="K1406" s="1">
        <f t="shared" ref="K1406:L1406" si="1483">SUM(K1407:K1410)</f>
        <v>1.2052466217646454E-6</v>
      </c>
      <c r="L1406" s="1">
        <f t="shared" si="1483"/>
        <v>1.6234030652945544E-6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6.0446052890327579E-5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9.7096484599356865E-5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1.9453410076949448E-4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4.5361291942229775E-6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1.2052466217646454E-6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1.6234030652945544E-6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1.1161671792113741E-4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5.3121302356536697E-7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0.81801294568004024</v>
      </c>
      <c r="G1411" s="1">
        <f t="shared" ref="G1411:K1411" si="1484">SUM(G1416:G1424)</f>
        <v>0.80275635379274379</v>
      </c>
      <c r="H1411" s="1">
        <f t="shared" si="1484"/>
        <v>0.96605931361034414</v>
      </c>
      <c r="I1411" s="1">
        <f t="shared" si="1484"/>
        <v>3.3163465689844372E-3</v>
      </c>
      <c r="J1411" s="1">
        <f t="shared" si="1484"/>
        <v>0.39459512347748393</v>
      </c>
      <c r="K1411" s="1">
        <f t="shared" si="1484"/>
        <v>4.5858524944666926E-2</v>
      </c>
      <c r="L1411" s="1">
        <f t="shared" ref="L1411" si="1485">SUM(L1416:L1424)</f>
        <v>2.3264925764265625E-2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0.79826639268127453</v>
      </c>
      <c r="G1412" s="1">
        <f t="shared" ref="G1412:L1412" si="1486">IF(G1411-G1413&lt;0,0,G1411-G1413)</f>
        <v>0.7818274751014298</v>
      </c>
      <c r="H1412" s="1">
        <f t="shared" si="1486"/>
        <v>0.92289040662311728</v>
      </c>
      <c r="I1412" s="1">
        <f t="shared" si="1486"/>
        <v>3.1494602935675784E-3</v>
      </c>
      <c r="J1412" s="1">
        <f t="shared" si="1486"/>
        <v>0.36184578833919567</v>
      </c>
      <c r="K1412" s="1">
        <f t="shared" si="1486"/>
        <v>3.876426319761879E-2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1.9746552998765734E-2</v>
      </c>
      <c r="G1413" s="1">
        <f t="shared" ref="G1413" si="1487">SUM(G1414:G1415)</f>
        <v>2.0928878691314018E-2</v>
      </c>
      <c r="H1413" s="1">
        <f t="shared" ref="H1413" si="1488">SUM(H1414:H1415)</f>
        <v>4.3168906987226842E-2</v>
      </c>
      <c r="I1413" s="1">
        <f t="shared" ref="I1413" si="1489">SUM(I1414:I1415)</f>
        <v>1.6688627541685877E-4</v>
      </c>
      <c r="J1413" s="1">
        <f t="shared" ref="J1413" si="1490">SUM(J1414:J1415)</f>
        <v>3.274933513828826E-2</v>
      </c>
      <c r="K1413" s="1">
        <f t="shared" ref="K1413:L1413" si="1491">SUM(K1414:K1415)</f>
        <v>7.0942617470481336E-3</v>
      </c>
      <c r="L1413" s="1">
        <f t="shared" si="1491"/>
        <v>2.7653488918894176E-2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1.9746552998765734E-2</v>
      </c>
      <c r="G1414" s="1">
        <f>[1]Transport!C$26/SUM([1]Transport!C$22,[1]Transport!C$26)*G1411*(G$34+G$582)/(G$34+G$582+G$38)</f>
        <v>2.0928878691314018E-2</v>
      </c>
      <c r="H1414" s="1">
        <f>[1]Transport!D$26/SUM([1]Transport!D$22,[1]Transport!D$26)*H1411*(H$34+H$582)/(H$34+H$582+H$38)</f>
        <v>4.3168906987226842E-2</v>
      </c>
      <c r="I1414" s="1">
        <f>[1]Transport!E$26/SUM([1]Transport!E$22,[1]Transport!E$26)*I1411*(I$34+I$582)/(I$34+I$582+I$38)</f>
        <v>1.6688627541685877E-4</v>
      </c>
      <c r="J1414" s="1">
        <f>[2]Transport!F$26/SUM([2]Transport!F$22,[2]Transport!F$26)*J1411*(J$34+J$582)/(J$34+J$582+J$38)</f>
        <v>3.274933513828826E-2</v>
      </c>
      <c r="K1414" s="1">
        <f>[2]Transport!G$26/SUM([2]Transport!G$22,[2]Transport!G$26)*K1411*(K$34+K$582)/(K$34+K$582+K$38)</f>
        <v>7.0826553088519E-3</v>
      </c>
      <c r="L1414" s="1">
        <f>[2]Transport!H$26/SUM([2]Transport!H$22,[2]Transport!H$26)*L1411*(L$34+L$582)/(L$34+L$582+L$38)</f>
        <v>9.8911456840403249E-3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1.1606438196233534E-5</v>
      </c>
      <c r="L1415" s="1">
        <f>(L$38+L$718)/([2]Transport!H$22+[2]Transport!H$26)*L1411</f>
        <v>1.7762343234853852E-2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2.1488596991368427E-2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2.6005405148336505E-2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2.1494905947558231E-4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1.2382935197474451E-5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1.5048413674585251E-5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3.9780201059234034E-6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2.82131259615509E-3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5.1143871218554829E-3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3.6753062828250987E-4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1.8084471151354644E-5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2.3458599593764834E-5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1.2530536918897945E-5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1.554714758312847E-3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2.8429938824282531E-3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8.8493424729238132E-4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6.8491330773616024E-6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5.4352948088376993E-4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1.0421034288499009E-3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4.4666660716365488E-4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6.0613052443606891E-3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6.026082253665856E-3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5.9218438449897869E-3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0.11222927653968538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0.26770148658456028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0.31671673577258802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2.0867896051354583E-4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4.2658308858262939E-2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4.1662821120440667E-2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2.2255831299369404E-2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0.51624047537678963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0.38032269809317387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0.46166618628515405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3.805831713963647E-4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0.2625018741234757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2.6303034719020466E-3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7.4695659986765545E-4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0.1477322255793154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0.11754207998418099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0.13998389339023989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1.6162391818273295E-4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8.9280142315484368E-2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1.3917139327406861E-3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2.370165195700833E-4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3.5749662939889071E-2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4.7558530504427307E-3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6.765764735902278E-3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6.5137997667766507E-4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1.243307739120825E-4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1.2833027323781504E-4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8.6127884336609371E-6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1.785091343924339E-4</v>
      </c>
      <c r="G1425" s="1">
        <f t="shared" ref="G1425" si="1492">SUM(G1430:G1434)</f>
        <v>5.2913899107276223E-3</v>
      </c>
      <c r="H1425" s="1">
        <f t="shared" ref="H1425" si="1493">SUM(H1430:H1434)</f>
        <v>1.2756553484724698E-2</v>
      </c>
      <c r="I1425" s="1">
        <f t="shared" ref="I1425" si="1494">SUM(I1430:I1434)</f>
        <v>1.1469206902480684E-3</v>
      </c>
      <c r="J1425" s="1">
        <f t="shared" ref="J1425" si="1495">SUM(J1430:J1434)</f>
        <v>3.4109714578674519E-3</v>
      </c>
      <c r="K1425" s="1">
        <f t="shared" ref="K1425:L1425" si="1496">SUM(K1430:K1434)</f>
        <v>2.7084551014439854E-3</v>
      </c>
      <c r="L1425" s="1">
        <f t="shared" si="1496"/>
        <v>2.1669863006118417E-4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1.6413952305987389E-4</v>
      </c>
      <c r="G1426" s="1">
        <f t="shared" ref="G1426:L1426" si="1497">IF(G1425-G1427&lt;0,0,G1425-G1427)</f>
        <v>4.775343501812801E-3</v>
      </c>
      <c r="H1426" s="1">
        <f t="shared" si="1497"/>
        <v>1.1563325438116123E-2</v>
      </c>
      <c r="I1426" s="1">
        <f t="shared" si="1497"/>
        <v>9.5502093460068894E-4</v>
      </c>
      <c r="J1426" s="1">
        <f t="shared" si="1497"/>
        <v>0</v>
      </c>
      <c r="K1426" s="1">
        <f t="shared" si="1497"/>
        <v>0</v>
      </c>
      <c r="L1426" s="1">
        <f t="shared" si="1497"/>
        <v>0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1.4369611332560025E-5</v>
      </c>
      <c r="G1427" s="1">
        <f t="shared" ref="G1427" si="1498">SUM(G1428:G1429)</f>
        <v>5.1604640891482164E-4</v>
      </c>
      <c r="H1427" s="1">
        <f t="shared" ref="H1427" si="1499">SUM(H1428:H1429)</f>
        <v>1.1932280466085752E-3</v>
      </c>
      <c r="I1427" s="1">
        <f t="shared" ref="I1427" si="1500">SUM(I1428:I1429)</f>
        <v>1.918997556473794E-4</v>
      </c>
      <c r="J1427" s="1">
        <f t="shared" ref="J1427" si="1501">SUM(J1428:J1429)</f>
        <v>3.1566378965699964E-2</v>
      </c>
      <c r="K1427" s="1">
        <f t="shared" ref="K1427:L1427" si="1502">SUM(K1428:K1429)</f>
        <v>0.94738991407604278</v>
      </c>
      <c r="L1427" s="1">
        <f t="shared" si="1502"/>
        <v>1.0878280811004837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1.4369611332560025E-5</v>
      </c>
      <c r="G1428" s="1">
        <f>[1]Transport!C$27/SUM([1]Transport!C$24,[1]Transport!C$27)*G1425*(G$47+G$614)/(G$47+G$614+G$49)</f>
        <v>5.1604640891482164E-4</v>
      </c>
      <c r="H1428" s="1">
        <f>[1]Transport!D$27/SUM([1]Transport!D$24,[1]Transport!D$27)*H1425*(H$47+H$614)/(H$47+H$614+H$49)</f>
        <v>1.1932280466085752E-3</v>
      </c>
      <c r="I1428" s="1">
        <f>[1]Transport!E$27/SUM([1]Transport!E$24,[1]Transport!E$27)*I1425*(I$47+I$614)/(I$47+I$614+I$49)</f>
        <v>1.918997556473794E-4</v>
      </c>
      <c r="J1428" s="1">
        <f>[2]Transport!F$27/SUM([2]Transport!F$24,[2]Transport!F$27)*J1425*(J$47+J$614)/(J$47+J$614+J$49)</f>
        <v>6.8397564325457512E-4</v>
      </c>
      <c r="K1428" s="1">
        <f>[2]Transport!G$27/SUM([2]Transport!G$24,[2]Transport!G$27)*K1425*(K$47+K$614)/(K$47+K$614+K$49)</f>
        <v>8.0022797319666294E-4</v>
      </c>
      <c r="L1428" s="1">
        <f>[2]Transport!H$27/SUM([2]Transport!H$24,[2]Transport!H$27)*L1425*(L$47+L$614)/(L$47+L$614+L$49)</f>
        <v>1.0786216308074221E-4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3.0882403322445386E-2</v>
      </c>
      <c r="K1429" s="1">
        <f>(K$49+K$716)/([2]Transport!G$24+[2]Transport!G$27)*K1425</f>
        <v>0.94658968610284611</v>
      </c>
      <c r="L1429" s="1">
        <f>(L$49+L$716)/([2]Transport!H$24+[2]Transport!H$27)*L1425</f>
        <v>1.0877202189374029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1.785091343924339E-4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1.6260437376534707E-4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1.5809903440331505E-4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1.9643153649857598E-3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3.9153644627530695E-3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1.993979535633284E-4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7.7644704349702802E-4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8.2506906308217175E-4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4.7219528531000984E-5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1.4400458717739014E-3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3.8819064118847287E-3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2.8301054785252386E-4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1.1957924900650087E-3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7.1467430869780332E-4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8.7190012856281439E-5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1.2505022612150673E-3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3.5483537776947083E-3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2.6810837942590251E-4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1.3644506219054962E-3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1.0632779221373229E-3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8.1445046978745537E-5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4.7392203898754696E-4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1.2528297979888775E-3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3.9640380940631365E-4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7.4281302399919222E-5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1.0543380752668721E-4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8.4404169515621197E-7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0.13227452358157193</v>
      </c>
      <c r="G1435" s="3">
        <f t="shared" ref="G1435" si="1503">SUM(G1436:G1458)</f>
        <v>0.13218648996579313</v>
      </c>
      <c r="H1435" s="3">
        <f t="shared" ref="H1435" si="1504">SUM(H1436:H1458)</f>
        <v>0.13330522305827661</v>
      </c>
      <c r="I1435" s="3">
        <f t="shared" ref="I1435" si="1505">SUM(I1436:I1458)</f>
        <v>0.13467416576955141</v>
      </c>
      <c r="J1435" s="3">
        <f t="shared" ref="J1435" si="1506">SUM(J1436:J1458)</f>
        <v>0.1346480023587778</v>
      </c>
      <c r="K1435" s="3">
        <f t="shared" ref="K1435:L1435" si="1507">SUM(K1436:K1458)</f>
        <v>0.1347491271301757</v>
      </c>
      <c r="L1435" s="3">
        <f t="shared" si="1507"/>
        <v>0.1311506950014012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2.9388554062264894E-4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1.8922742822499346E-3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3.5947591062320981E-3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6.4518332748812454E-2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5.8770410748155678E-2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5.7935457387572518E-2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5.9503474796822289E-2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6.2735320001902596E-4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1.5127908130867719E-3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2.3457188862185613E-3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5.7387157735929409E-2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3.0599205734717642E-2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5.71887589626216E-2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5.5922915771070419E-2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2.6219367354665565E-4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5.5589078785311886E-4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8.6570836953777112E-4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1.2194006584594366E-2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6.1162447717868704E-3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1.2130654931089958E-2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1.1954220403427994E-2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1.3437324189129353E-4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2.2259116902714863E-4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1.5214388766451322E-4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3.8482194217455231E-5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5.3188194764939622E-5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2.2565135000336781E-5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1.4168661287990444E-5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1.6419162599396305E-5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2.200343920537126E-5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5.1606982848626452E-7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1.5650021561699226E-7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2.3797441606059728E-7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8.4713349947946357E-6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4.0317289022953507E-8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3.4921913981897272E-3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4.2665476513924008E-3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3.7116658101557219E-5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2.4085575813192809E-6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3.0796340427790964E-6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8.1409551903477061E-7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3.2866580437831353E-4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6.0898841034704246E-4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4.5340612464173049E-5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2.5209526849997288E-6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3.440722781993215E-6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1.8378805467534713E-6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1.2163439667629872E-4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2.2729354479545004E-4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7.2757052675112625E-5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0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6.7622855599849505E-7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2.8671962706941855E-5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5.6218296179336661E-5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2.4933549467175264E-5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6.0311500047996E-2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4.8086489161902661E-2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2.9751001412029274E-2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1.3907358516351066E-2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3.3859483548146663E-2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4.0486904777089168E-2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2.708682990950149E-5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5.9081907480836356E-3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6.7647791098824021E-3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3.6206919074820445E-3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4.5153410736832544E-2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3.3402826164720158E-2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4.0584133634577628E-2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3.4684151560703402E-5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2.6796695732237905E-2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2.8698875604053363E-4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8.3764212120606554E-5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8.5610127407236367E-3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6.8416723657528803E-3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8.1600046481137504E-3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9.8795000682937094E-6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6.0894307096497928E-3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1.0211945392662832E-4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1.7816659136253492E-5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1.3815986834318176E-3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1.8546059480531357E-4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2.6601025153316318E-4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2.6430536863632956E-5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5.9014126830106856E-6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6.2872804616832855E-6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4.3301790553698831E-7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1.776210442048535E-3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1.2970621791852863E-3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7.9312271801180827E-4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2.3618440748970272E-4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4.8180878759464105E-4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2.5681956875642466E-5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1.0882614246187985E-4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1.224247909599654E-4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7.0188257281281559E-6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1.2240112878893181E-4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3.3960205140559245E-4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2.5594388805992501E-5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1.1539433809380177E-4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7.3507223869940678E-5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9.0850480983075924E-6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7.0556005475855426E-5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2.0623028549097061E-4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1.6095691406508236E-5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9.0395388146181609E-5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7.2729629997781442E-5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5.7791828454616372E-6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1.7861722493264039E-5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4.8579058700825942E-5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1.5861286264862542E-5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3.3385411601325392E-6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4.8783233913735451E-6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4.0091281983030597E-8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0.37869321701871822</v>
      </c>
      <c r="G1461" s="1">
        <f t="shared" si="1515"/>
        <v>0.39020854225079765</v>
      </c>
      <c r="H1461" s="1">
        <f t="shared" si="1515"/>
        <v>0.40090429145282425</v>
      </c>
      <c r="I1461" s="1">
        <f t="shared" si="1515"/>
        <v>0.44676596455652495</v>
      </c>
      <c r="J1461" s="1">
        <f t="shared" si="1515"/>
        <v>0.46970585911170587</v>
      </c>
      <c r="K1461" s="1">
        <f t="shared" si="1515"/>
        <v>0.47186767504753113</v>
      </c>
      <c r="L1461" s="1">
        <f t="shared" ref="L1461" si="1516">IFERROR(L1437/L1402,"-")</f>
        <v>0.52832742309516112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0.27518070496490699</v>
      </c>
      <c r="G1462" s="1">
        <f t="shared" si="1517"/>
        <v>0.28007060897519781</v>
      </c>
      <c r="H1462" s="1">
        <f t="shared" si="1517"/>
        <v>0.28658403313877179</v>
      </c>
      <c r="I1462" s="1">
        <f t="shared" si="1517"/>
        <v>0.32365958645729398</v>
      </c>
      <c r="J1462" s="1">
        <f t="shared" si="1517"/>
        <v>0.34038812556842046</v>
      </c>
      <c r="K1462" s="1">
        <f t="shared" si="1517"/>
        <v>0.34937275803128315</v>
      </c>
      <c r="L1462" s="1">
        <f t="shared" ref="L1462" si="1518">IFERROR(L1438/L1403,"-")</f>
        <v>0.37827762550187771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0.18618642334414984</v>
      </c>
      <c r="H1463" s="1">
        <f t="shared" si="1519"/>
        <v>0.19062190567391615</v>
      </c>
      <c r="I1463" s="1">
        <f t="shared" si="1519"/>
        <v>0.21482798486612248</v>
      </c>
      <c r="J1463" s="1">
        <f t="shared" si="1519"/>
        <v>0.22723502899445691</v>
      </c>
      <c r="K1463" s="1">
        <f t="shared" si="1519"/>
        <v>0.2332685796143566</v>
      </c>
      <c r="L1463" s="1">
        <f t="shared" ref="L1463" si="1520">IFERROR(L1439/L1404,"-")</f>
        <v>0.25774727879853093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0.12643429100140424</v>
      </c>
      <c r="H1464" s="1">
        <f t="shared" si="1521"/>
        <v>0.12961354583653906</v>
      </c>
      <c r="I1464" s="1">
        <f t="shared" si="1521"/>
        <v>0.13910999748501726</v>
      </c>
      <c r="J1464" s="1">
        <f t="shared" si="1521"/>
        <v>0.15089674822783994</v>
      </c>
      <c r="K1464" s="1">
        <f t="shared" si="1521"/>
        <v>0.15729590160807239</v>
      </c>
      <c r="L1464" s="1">
        <f t="shared" ref="L1464" si="1522">IFERROR(L1440/L1405,"-")</f>
        <v>0.1708105944585879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>
        <f t="shared" si="1523"/>
        <v>0.234401761744441</v>
      </c>
      <c r="J1465" s="1" t="str">
        <f t="shared" si="1523"/>
        <v>-</v>
      </c>
      <c r="K1465" s="1" t="str">
        <f t="shared" si="1523"/>
        <v>-</v>
      </c>
      <c r="L1465" s="1" t="str">
        <f t="shared" ref="L1465" si="1524">IFERROR(L1441/L1407,"-")</f>
        <v>-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>
        <f t="shared" si="1525"/>
        <v>0.1691015145104961</v>
      </c>
      <c r="J1466" s="1" t="str">
        <f t="shared" si="1525"/>
        <v>-</v>
      </c>
      <c r="K1466" s="1" t="str">
        <f t="shared" si="1525"/>
        <v>-</v>
      </c>
      <c r="L1466" s="1" t="str">
        <f t="shared" ref="L1466" si="1526">IFERROR(L1442/L1408,"-")</f>
        <v>-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>
        <f t="shared" si="1527"/>
        <v>0.11310839137372306</v>
      </c>
      <c r="J1467" s="1">
        <f t="shared" si="1527"/>
        <v>0.11376876768490396</v>
      </c>
      <c r="K1467" s="1">
        <f t="shared" si="1527"/>
        <v>0.12984912198953491</v>
      </c>
      <c r="L1467" s="1">
        <f t="shared" ref="L1467" si="1528">IFERROR(L1443/L1409,"-")</f>
        <v>0.14658985260534702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>
        <f t="shared" si="1529"/>
        <v>7.5896650184428843E-2</v>
      </c>
      <c r="J1468" s="1">
        <f t="shared" si="1529"/>
        <v>7.5896650184429024E-2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0.16406387929954325</v>
      </c>
      <c r="I1469" s="1">
        <f t="shared" si="1531"/>
        <v>0.17267653178902875</v>
      </c>
      <c r="J1469" s="1">
        <f t="shared" si="1531"/>
        <v>0.19450619282983211</v>
      </c>
      <c r="K1469" s="1">
        <f t="shared" si="1531"/>
        <v>0.20464841739300299</v>
      </c>
      <c r="L1469" s="1">
        <f t="shared" ref="L1469" si="1532">IFERROR(L1445/L1416,"-")</f>
        <v>0.20464841739300299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0.11649393435744136</v>
      </c>
      <c r="H1470" s="1">
        <f t="shared" si="1533"/>
        <v>0.11907358513097918</v>
      </c>
      <c r="I1470" s="1">
        <f t="shared" si="1533"/>
        <v>0.12336553466591924</v>
      </c>
      <c r="J1470" s="1">
        <f t="shared" si="1533"/>
        <v>0.13939875066852001</v>
      </c>
      <c r="K1470" s="1">
        <f t="shared" si="1533"/>
        <v>0.14667213054387698</v>
      </c>
      <c r="L1470" s="1">
        <f t="shared" ref="L1470" si="1534">IFERROR(L1446/L1417,"-")</f>
        <v>0.14667213054387715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7.8235828164578913E-2</v>
      </c>
      <c r="H1471" s="1">
        <f t="shared" si="1535"/>
        <v>7.9948657716179983E-2</v>
      </c>
      <c r="I1471" s="1">
        <f t="shared" si="1535"/>
        <v>8.221746745334603E-2</v>
      </c>
      <c r="J1471" s="1" t="str">
        <f t="shared" si="1535"/>
        <v>-</v>
      </c>
      <c r="K1471" s="1">
        <f t="shared" si="1535"/>
        <v>9.8731992554448852E-2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5.275143983049773E-2</v>
      </c>
      <c r="H1472" s="1">
        <f t="shared" si="1537"/>
        <v>5.3946944826178143E-2</v>
      </c>
      <c r="I1472" s="1">
        <f t="shared" si="1537"/>
        <v>5.5821386840408736E-2</v>
      </c>
      <c r="J1472" s="1" t="str">
        <f t="shared" si="1537"/>
        <v>-</v>
      </c>
      <c r="K1472" s="1" t="str">
        <f t="shared" si="1537"/>
        <v>-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7.9797266512003109</v>
      </c>
      <c r="H1473" s="1">
        <f t="shared" si="1539"/>
        <v>5.0239422367072875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0.1239191674859749</v>
      </c>
      <c r="G1474" s="1">
        <f t="shared" si="1541"/>
        <v>0.12648223952783799</v>
      </c>
      <c r="H1474" s="1">
        <f t="shared" si="1541"/>
        <v>0.1278331714247016</v>
      </c>
      <c r="I1474" s="1">
        <f t="shared" si="1541"/>
        <v>0.12980144161559221</v>
      </c>
      <c r="J1474" s="1">
        <f t="shared" si="1541"/>
        <v>0.13850035095658078</v>
      </c>
      <c r="K1474" s="1">
        <f t="shared" si="1541"/>
        <v>0.16236968424021236</v>
      </c>
      <c r="L1474" s="1">
        <f t="shared" ref="L1474" si="1542">IFERROR(L1450/L1421,"-")</f>
        <v>0.16268508952908145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8.746584758561661E-2</v>
      </c>
      <c r="G1475" s="1">
        <f t="shared" si="1543"/>
        <v>8.7827590444094189E-2</v>
      </c>
      <c r="H1475" s="1">
        <f t="shared" si="1543"/>
        <v>8.7907962160153341E-2</v>
      </c>
      <c r="I1475" s="1">
        <f t="shared" si="1543"/>
        <v>9.1134222864996339E-2</v>
      </c>
      <c r="J1475" s="1">
        <f t="shared" si="1543"/>
        <v>0.10208192159280839</v>
      </c>
      <c r="K1475" s="1">
        <f t="shared" si="1543"/>
        <v>0.10910861013045159</v>
      </c>
      <c r="L1475" s="1">
        <f t="shared" ref="L1475" si="1544">IFERROR(L1451/L1422,"-")</f>
        <v>0.11214066805949337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5.7949527986548517E-2</v>
      </c>
      <c r="G1476" s="1">
        <f t="shared" si="1545"/>
        <v>5.820615363173464E-2</v>
      </c>
      <c r="H1476" s="1">
        <f t="shared" si="1545"/>
        <v>5.8292453870858622E-2</v>
      </c>
      <c r="I1476" s="1">
        <f t="shared" si="1545"/>
        <v>6.112647298355859E-2</v>
      </c>
      <c r="J1476" s="1">
        <f t="shared" si="1545"/>
        <v>6.8205880408791289E-2</v>
      </c>
      <c r="K1476" s="1">
        <f t="shared" si="1545"/>
        <v>7.3376756188339415E-2</v>
      </c>
      <c r="L1476" s="1">
        <f t="shared" ref="L1476" si="1546">IFERROR(L1452/L1423,"-")</f>
        <v>7.5170537347230323E-2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3.8646481387947448E-2</v>
      </c>
      <c r="G1477" s="1">
        <f t="shared" si="1547"/>
        <v>3.8996283703099009E-2</v>
      </c>
      <c r="H1477" s="1">
        <f t="shared" si="1547"/>
        <v>3.9317100419053848E-2</v>
      </c>
      <c r="I1477" s="1">
        <f t="shared" si="1547"/>
        <v>4.0576219426394937E-2</v>
      </c>
      <c r="J1477" s="1">
        <f t="shared" si="1547"/>
        <v>4.7465422254861271E-2</v>
      </c>
      <c r="K1477" s="1">
        <f t="shared" si="1547"/>
        <v>4.8992964037659466E-2</v>
      </c>
      <c r="L1477" s="1">
        <f t="shared" ref="L1477" si="1548">IFERROR(L1453/L1424,"-")</f>
        <v>5.0276157236679095E-2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9.9502495941956663</v>
      </c>
      <c r="G1478" s="1">
        <f t="shared" ref="G1478:K1478" si="1549">IFERROR(G1454/G1430,"-")</f>
        <v>7.9767976048237497</v>
      </c>
      <c r="H1478" s="1">
        <f t="shared" si="1549"/>
        <v>5.0166196207658675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0.12023751974847223</v>
      </c>
      <c r="H1479" s="1">
        <f t="shared" si="1551"/>
        <v>0.1230559229359352</v>
      </c>
      <c r="I1479" s="1">
        <f t="shared" si="1551"/>
        <v>0.12879749474202065</v>
      </c>
      <c r="J1479" s="1">
        <f t="shared" si="1551"/>
        <v>0.14015913045626324</v>
      </c>
      <c r="K1479" s="1">
        <f t="shared" si="1551"/>
        <v>0.1483812645969646</v>
      </c>
      <c r="L1479" s="1">
        <f t="shared" ref="L1479" si="1552">IFERROR(L1455/L1431,"-")</f>
        <v>0.14864243558721885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8.4998076233608874E-2</v>
      </c>
      <c r="H1480" s="1">
        <f t="shared" si="1553"/>
        <v>8.748331756939759E-2</v>
      </c>
      <c r="I1480" s="1">
        <f t="shared" si="1553"/>
        <v>9.0436165719624262E-2</v>
      </c>
      <c r="J1480" s="1">
        <f t="shared" si="1553"/>
        <v>9.6500303399236445E-2</v>
      </c>
      <c r="K1480" s="1">
        <f t="shared" si="1553"/>
        <v>0.10285415744673546</v>
      </c>
      <c r="L1480" s="1">
        <f t="shared" ref="L1480" si="1554">IFERROR(L1456/L1432,"-")</f>
        <v>0.10419826538255955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5.6422133461237201E-2</v>
      </c>
      <c r="H1481" s="1">
        <f t="shared" si="1555"/>
        <v>5.8119989835104365E-2</v>
      </c>
      <c r="I1481" s="1">
        <f t="shared" si="1555"/>
        <v>6.0034272114037467E-2</v>
      </c>
      <c r="J1481" s="1">
        <f t="shared" si="1555"/>
        <v>6.6250391692402724E-2</v>
      </c>
      <c r="K1481" s="1">
        <f t="shared" si="1555"/>
        <v>6.8401335609024685E-2</v>
      </c>
      <c r="L1481" s="1">
        <f t="shared" ref="L1481" si="1556">IFERROR(L1457/L1433,"-")</f>
        <v>7.0958063870597471E-2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3.7689157759834384E-2</v>
      </c>
      <c r="H1482" s="1">
        <f t="shared" si="1557"/>
        <v>3.8775465573063599E-2</v>
      </c>
      <c r="I1482" s="1">
        <f t="shared" si="1557"/>
        <v>4.0012951158611934E-2</v>
      </c>
      <c r="J1482" s="1">
        <f t="shared" si="1557"/>
        <v>4.4944569525159128E-2</v>
      </c>
      <c r="K1482" s="1">
        <f t="shared" si="1557"/>
        <v>4.6269062133023633E-2</v>
      </c>
      <c r="L1482" s="1">
        <f t="shared" ref="L1482" si="1558">IFERROR(L1458/L1434,"-")</f>
        <v>4.7499172390542459E-2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0.47125700201555526</v>
      </c>
      <c r="K1483" s="3">
        <f t="shared" si="1559"/>
        <v>0.48412865182977366</v>
      </c>
      <c r="L1483" s="3">
        <f t="shared" si="1559"/>
        <v>0.49986232723086516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0.47125700201555526</v>
      </c>
      <c r="K1484" s="1">
        <f t="shared" si="1560"/>
        <v>0.48412865182977366</v>
      </c>
      <c r="L1484" s="1">
        <f t="shared" si="1560"/>
        <v>0.49986232723086516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0.47125700201555526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0.48412865182977366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0.49986232723086516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3.1931033304286191E-2</v>
      </c>
      <c r="K1486" s="3">
        <f t="shared" si="1564"/>
        <v>3.280317966421524E-2</v>
      </c>
      <c r="L1486" s="3">
        <f t="shared" si="1564"/>
        <v>3.3869248732860013E-2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3.1931033304286191E-2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3.280317966421524E-2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3.3869248732860013E-2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6.7757154095786171E-2</v>
      </c>
      <c r="K1489" s="1">
        <f t="shared" si="1565"/>
        <v>6.7757154095786282E-2</v>
      </c>
      <c r="L1489" s="1">
        <f t="shared" ref="L1489" si="1566">L1487/L1485</f>
        <v>6.7757154095786157E-2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0.77535793541680942</v>
      </c>
      <c r="K1490" s="3">
        <f t="shared" ref="K1490:L1491" si="1571">K1491</f>
        <v>0.79250415598894708</v>
      </c>
      <c r="L1490" s="3">
        <f t="shared" si="1571"/>
        <v>0.81825971326555591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0.77535793541680942</v>
      </c>
      <c r="K1491" s="1">
        <f t="shared" si="1571"/>
        <v>0.79250415598894708</v>
      </c>
      <c r="L1491" s="1">
        <f t="shared" si="1571"/>
        <v>0.81825971326555591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0.77535793541680942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0.79250415598894708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0.81825971326555591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3.9154487950248104E-2</v>
      </c>
      <c r="K1493" s="3">
        <f t="shared" ref="K1493:L1493" si="1579">K1494</f>
        <v>4.0020348033853431E-2</v>
      </c>
      <c r="L1493" s="3">
        <f t="shared" si="1579"/>
        <v>4.1320967542566908E-2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3.9154487950248104E-2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4.0020348033853431E-2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4.1320967542566908E-2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5.0498597050147961E-2</v>
      </c>
      <c r="K1496" s="1">
        <f t="shared" si="1580"/>
        <v>5.0498597050147948E-2</v>
      </c>
      <c r="L1496" s="1">
        <f t="shared" ref="L1496" si="1581">L1494/L1492</f>
        <v>5.0498597050147948E-2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1.7673096766409415</v>
      </c>
      <c r="G1497" s="3">
        <f t="shared" ref="G1497:K1497" si="1582">SUM(G1498,G1503,G1508)</f>
        <v>1.6886099270329187</v>
      </c>
      <c r="H1497" s="3">
        <f t="shared" si="1582"/>
        <v>1.3990620804633467</v>
      </c>
      <c r="I1497" s="3">
        <f t="shared" si="1582"/>
        <v>1.1210940411965351</v>
      </c>
      <c r="J1497" s="3">
        <f t="shared" si="1582"/>
        <v>0.91216865108946665</v>
      </c>
      <c r="K1497" s="3">
        <f t="shared" si="1582"/>
        <v>0.54007670235975846</v>
      </c>
      <c r="L1497" s="3">
        <f t="shared" ref="L1497" si="1583">SUM(L1498,L1503,L1508)</f>
        <v>0.22380182391196621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5.35312399629242E-2</v>
      </c>
      <c r="G1498" s="1">
        <f t="shared" ref="G1498:K1498" si="1585">SUM(G1499:G1502)</f>
        <v>5.5895357853282229E-2</v>
      </c>
      <c r="H1498" s="1">
        <f t="shared" si="1585"/>
        <v>6.0218546165222778E-2</v>
      </c>
      <c r="I1498" s="1">
        <f t="shared" si="1585"/>
        <v>5.256352543267185E-2</v>
      </c>
      <c r="J1498" s="1">
        <f t="shared" si="1585"/>
        <v>2.1814673789460139E-2</v>
      </c>
      <c r="K1498" s="1">
        <f t="shared" si="1585"/>
        <v>9.5666648482756231E-2</v>
      </c>
      <c r="L1498" s="1">
        <f t="shared" ref="L1498" si="1586">SUM(L1499:L1502)</f>
        <v>0.15205751344342974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4.8698984808933032E-2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4.942822424041516E-2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5.1202594923683543E-2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4.1471066085482983E-2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2.0000150120738431E-2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9.3925494482592006E-2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0.15101856432639041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2.1272035600823098E-3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2.6067321460687982E-3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3.6240512421855504E-3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4.4720984879947192E-3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5.9898521607218219E-4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5.299007373615861E-4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3.3693367169955989E-4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1.2194836883613141E-3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1.7422849811827615E-3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2.4387752232390967E-3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3.0676981399679732E-3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5.838668331730226E-4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4.9564389691393303E-4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2.6956430902718098E-4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1.4855679055475442E-3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2.1181164856155111E-3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2.953124776114585E-3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3.5526627192261728E-3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6.3167161947650437E-4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7.1560936588870581E-4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4.3245113631257563E-4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2.3064511871819589E-3</v>
      </c>
      <c r="J1503" s="1">
        <f t="shared" si="1590"/>
        <v>7.1618706883708996E-4</v>
      </c>
      <c r="K1503" s="1">
        <f t="shared" si="1590"/>
        <v>8.8563812072647255E-4</v>
      </c>
      <c r="L1503" s="1">
        <f t="shared" ref="L1503" si="1591">SUM(L1504:L1507)</f>
        <v>7.8000880651402126E-4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8.1219045891896594E-4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2.845632944587273E-4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3.164865360478078E-4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2.5052356150004687E-4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6.2803617800122693E-4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2.0080220791877986E-4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2.43466811050641E-4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1.7983917001362568E-4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5.4587298937679737E-4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1.4586199213253962E-4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2.0225061960706426E-4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1.996438486252482E-4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3.2035156088496865E-4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8.4959574327043156E-5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1.2343415402095949E-4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1.5000222637510054E-4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1.7137784366780173</v>
      </c>
      <c r="G1508" s="1">
        <f t="shared" ref="G1508:K1508" si="1595">SUM(G1513:G1517)</f>
        <v>1.6327145691796365</v>
      </c>
      <c r="H1508" s="1">
        <f t="shared" si="1595"/>
        <v>1.338843534298124</v>
      </c>
      <c r="I1508" s="1">
        <f t="shared" si="1595"/>
        <v>1.0662240645766814</v>
      </c>
      <c r="J1508" s="1">
        <f t="shared" si="1595"/>
        <v>0.8896377902311694</v>
      </c>
      <c r="K1508" s="1">
        <f t="shared" si="1595"/>
        <v>0.44352441575627571</v>
      </c>
      <c r="L1508" s="1">
        <f t="shared" ref="L1508" si="1596">SUM(L1513:L1517)</f>
        <v>7.0964301662022444E-2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1.6199651902299987</v>
      </c>
      <c r="G1509" s="1">
        <f t="shared" ref="G1509:L1509" si="1597">IF(G1508-G1510&lt;0,0,G1508-G1510)</f>
        <v>1.5433232945930579</v>
      </c>
      <c r="H1509" s="1">
        <f t="shared" si="1597"/>
        <v>1.2655373927250293</v>
      </c>
      <c r="I1509" s="1">
        <f t="shared" si="1597"/>
        <v>0.9728961373625129</v>
      </c>
      <c r="J1509" s="1">
        <f t="shared" si="1597"/>
        <v>0.82444489215883476</v>
      </c>
      <c r="K1509" s="1">
        <f t="shared" si="1597"/>
        <v>0.19064715405113319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9.3813246448018542E-2</v>
      </c>
      <c r="G1510" s="1">
        <f t="shared" ref="G1510" si="1600">SUM(G1511:G1512)</f>
        <v>8.9391274586578695E-2</v>
      </c>
      <c r="H1510" s="1">
        <f t="shared" ref="H1510" si="1601">SUM(H1511:H1512)</f>
        <v>7.3306141573094702E-2</v>
      </c>
      <c r="I1510" s="1">
        <f t="shared" ref="I1510" si="1602">SUM(I1511:I1512)</f>
        <v>9.3327927214168493E-2</v>
      </c>
      <c r="J1510" s="1">
        <f t="shared" ref="J1510" si="1603">SUM(J1511:J1512)</f>
        <v>6.5192898072334637E-2</v>
      </c>
      <c r="K1510" s="1">
        <f t="shared" ref="K1510:L1510" si="1604">SUM(K1511:K1512)</f>
        <v>0.25287726170514252</v>
      </c>
      <c r="L1510" s="1">
        <f t="shared" si="1604"/>
        <v>7.1893475317342387E-2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9.3813246448018542E-2</v>
      </c>
      <c r="G1511" s="1">
        <f>[1]Transport!C$25/SUM([1]Transport!C$21,[1]Transport!C$25)*G1508*(G$35+G$600)/(G$35+G$600+G$39)</f>
        <v>8.9391274586578695E-2</v>
      </c>
      <c r="H1511" s="1">
        <f>[1]Transport!D$25/SUM([1]Transport!D$21,[1]Transport!D$25)*H1508*(H$35+H$600)/(H$35+H$600+H$39)</f>
        <v>7.3306141573094702E-2</v>
      </c>
      <c r="I1511" s="1">
        <f>[1]Transport!E$25/SUM([1]Transport!E$21,[1]Transport!E$25)*I1508*(I$35+I$600)/(I$35+I$600+I$39)</f>
        <v>9.3327927214168493E-2</v>
      </c>
      <c r="J1511" s="1">
        <f>[2]Transport!F$25/SUM([2]Transport!F$21,[2]Transport!F$25)*J1508*(J$35+J$600)/(J$35+J$600+J$39)</f>
        <v>6.5192898072334637E-2</v>
      </c>
      <c r="K1511" s="1">
        <f>[2]Transport!G$25/SUM([2]Transport!G$21,[2]Transport!G$25)*K1508*(K$35+K$600)/(K$35+K$600+K$39)</f>
        <v>0.187286864279677</v>
      </c>
      <c r="L1511" s="1">
        <f>[2]Transport!H$25/SUM([2]Transport!H$21,[2]Transport!H$25)*L1508*(L$35+L$600)/(L$35+L$600+L$39)</f>
        <v>8.679233706995854E-3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6.5590397425465533E-2</v>
      </c>
      <c r="L1512" s="1">
        <f>(L$39+L$719)/([2]Transport!H$21+[2]Transport!H$25)*L1508</f>
        <v>6.3214241610346528E-2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1.5034577526940216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1.3993528568502263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0.95100728170549897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0.45032624190783321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4.4268769470676712E-2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5.1343415091344866E-2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0.20711825554375268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0.46138850621444927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0.85435080699829613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0.43404926778164243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6.9023828792196429E-2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6.145590524945109E-2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0.11143230966824884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0.1061019899704676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8.3190461529502047E-2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1.108806586973333E-2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8.8961837054889637E-4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5.1026388259643729E-4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6.3070391163161738E-2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3.7843630132540322E-2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3.9871303983414819E-2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3.8310739962242629E-2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1.6321556042722639E-2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3.0563357616593344E-3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5.2975049282875529E-4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4.1525618100706159E-2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3.2742357437276597E-2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3.4744703094989879E-2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3.3008114962654225E-2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7.8773613204172303E-3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5.5291938424250481E-3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9.0045849440081448E-4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1.9501694875254265</v>
      </c>
      <c r="G1518" s="3">
        <f t="shared" ref="G1518:K1518" si="1607">SUM(G1519:G1531)</f>
        <v>1.9527583401184743</v>
      </c>
      <c r="H1518" s="3">
        <f t="shared" si="1607"/>
        <v>1.9565750272708715</v>
      </c>
      <c r="I1518" s="3">
        <f t="shared" si="1607"/>
        <v>1.9627660231508688</v>
      </c>
      <c r="J1518" s="3">
        <f t="shared" si="1607"/>
        <v>1.9974552028335157</v>
      </c>
      <c r="K1518" s="3">
        <f t="shared" si="1607"/>
        <v>1.9949305886126352</v>
      </c>
      <c r="L1518" s="3">
        <f t="shared" ref="L1518" si="1608">SUM(L1519:L1531)</f>
        <v>1.9406760357296031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0.54050647797387796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0.54862858828878802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0.56858514821931994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0.46160471045413137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0.23023958838674549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1.0915016107445488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1.79020107971929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1.3368462598261462E-2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1.6397320649146396E-2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2.2879655784238711E-2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2.836386352908386E-2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3.8706712474010077E-3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3.4637782213608513E-3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2.2353444867995978E-3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4.987863005171427E-3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7.1392395998651579E-3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1.0034723067299257E-2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1.269072375890113E-2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2.4288545307295539E-3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2.0865919362303663E-3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1.1673915376539028E-3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5.5932426169554321E-3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7.9911174030597512E-3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1.1192345703748951E-2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1.3532204363093027E-2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2.4231350688196335E-3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2.7619864119736693E-3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1.7116796247963074E-3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3.767847335601301E-3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1.3324361847326283E-3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1.5004331580755496E-3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1.2203147127734283E-3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1.6962546551154071E-3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5.4690709269455517E-4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6.6918828492967136E-4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5.0547503969331701E-4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9.6109047913661802E-4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2.5893033921907556E-4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3.6155904832226954E-4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3.6382383946807962E-4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5.0040232972396877E-4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1.3401501405954297E-4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1.9639094798840805E-4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2.4249841093514351E-4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1.1594141562392106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1.1016242060617709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0.77159801471995959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0.38346685797662039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8.445966074435253E-2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9.803757735508474E-2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0.40227520123712857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0.91358307970479191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1.7265808252607895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0.88531090068710128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0.14135283999688783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6.7771297503233088E-2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0.12313483993233861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0.11731802480201163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9.2133834685650076E-2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1.2342106610160351E-2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1.0500003277814406E-3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6.2060579212959649E-4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4.600524498108579E-2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2.7645619962151022E-2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2.9157475847169538E-2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2.8074850558285722E-2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1.1952847981211856E-2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2.2669528440807506E-3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4.21034909880519E-4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2.8063081863278171E-2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2.215983086626961E-2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2.3534437889995648E-2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2.2390303320734085E-2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5.3448851169523538E-3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3.7611960002421761E-3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6.3394765929569122E-4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11.098927012431908</v>
      </c>
      <c r="G1533" s="1">
        <f t="shared" si="1612"/>
        <v>11.099500269730507</v>
      </c>
      <c r="H1533" s="1">
        <f t="shared" si="1612"/>
        <v>11.104615870871093</v>
      </c>
      <c r="I1533" s="1">
        <f t="shared" si="1612"/>
        <v>11.130765471585427</v>
      </c>
      <c r="J1533" s="1">
        <f t="shared" si="1612"/>
        <v>11.5118930106433</v>
      </c>
      <c r="K1533" s="1">
        <f t="shared" si="1612"/>
        <v>11.620930150618966</v>
      </c>
      <c r="L1533" s="1">
        <f t="shared" ref="L1533" si="1613">IFERROR(L1519/L1499,"-")</f>
        <v>11.854178906443579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6.284524362935997</v>
      </c>
      <c r="G1534" s="1">
        <f t="shared" si="1612"/>
        <v>6.2903742042983311</v>
      </c>
      <c r="H1534" s="1">
        <f t="shared" si="1612"/>
        <v>6.3132815336354673</v>
      </c>
      <c r="I1534" s="1">
        <f t="shared" si="1612"/>
        <v>6.3424058314516607</v>
      </c>
      <c r="J1534" s="1">
        <f t="shared" si="1612"/>
        <v>6.4620480498379491</v>
      </c>
      <c r="K1534" s="1">
        <f t="shared" si="1612"/>
        <v>6.5366548433339657</v>
      </c>
      <c r="L1534" s="1">
        <f t="shared" ref="L1534" si="1614">IFERROR(L1520/L1500,"-")</f>
        <v>6.6343754707687106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4.0976302252336687</v>
      </c>
      <c r="H1535" s="1">
        <f t="shared" si="1612"/>
        <v>4.1146568046445404</v>
      </c>
      <c r="I1535" s="1">
        <f t="shared" si="1612"/>
        <v>4.1368880443476819</v>
      </c>
      <c r="J1535" s="1">
        <f t="shared" si="1612"/>
        <v>4.1599460574425011</v>
      </c>
      <c r="K1535" s="1">
        <f t="shared" si="1612"/>
        <v>4.2098610498833526</v>
      </c>
      <c r="L1535" s="1">
        <f t="shared" ref="L1535" si="1615">IFERROR(L1521/L1501,"-")</f>
        <v>4.3306606199717308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3.7650534829600395</v>
      </c>
      <c r="G1536" s="1">
        <f t="shared" si="1612"/>
        <v>3.7727468991100288</v>
      </c>
      <c r="H1536" s="1">
        <f t="shared" si="1612"/>
        <v>3.7900009489184798</v>
      </c>
      <c r="I1536" s="1">
        <f t="shared" si="1612"/>
        <v>3.8090315441035054</v>
      </c>
      <c r="J1536" s="1">
        <f t="shared" si="1612"/>
        <v>3.8360676562100386</v>
      </c>
      <c r="K1536" s="1">
        <f t="shared" si="1612"/>
        <v>3.8596286516507439</v>
      </c>
      <c r="L1536" s="1">
        <f t="shared" ref="L1536" si="1616">IFERROR(L1522/L1502,"-")</f>
        <v>3.9580879342610991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4.6391179485367822</v>
      </c>
      <c r="J1537" s="1">
        <f t="shared" si="1617"/>
        <v>4.6823895093957137</v>
      </c>
      <c r="K1537" s="1">
        <f t="shared" si="1617"/>
        <v>4.7409067596129821</v>
      </c>
      <c r="L1537" s="1">
        <f t="shared" ref="L1537" si="1618">IFERROR(L1523/L1504,"-")</f>
        <v>4.8710576580766034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2.7008868509993595</v>
      </c>
      <c r="J1538" s="1">
        <f t="shared" si="1617"/>
        <v>2.7236109521055027</v>
      </c>
      <c r="K1538" s="1">
        <f t="shared" si="1617"/>
        <v>2.7485811394247097</v>
      </c>
      <c r="L1538" s="1">
        <f t="shared" ref="L1538" si="1619">IFERROR(L1524/L1505,"-")</f>
        <v>2.8107060305884377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</v>
      </c>
      <c r="J1539" s="1">
        <f t="shared" si="1617"/>
        <v>1.7751734734556124</v>
      </c>
      <c r="K1539" s="1">
        <f t="shared" si="1617"/>
        <v>1.7876783221960568</v>
      </c>
      <c r="L1539" s="1">
        <f t="shared" ref="L1539" si="1620">IFERROR(L1525/L1506,"-")</f>
        <v>1.8223643852459184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1.5620411785777204</v>
      </c>
      <c r="J1540" s="1">
        <f t="shared" si="1617"/>
        <v>1.5773974283777121</v>
      </c>
      <c r="K1540" s="1">
        <f t="shared" si="1617"/>
        <v>1.5910584031309543</v>
      </c>
      <c r="L1540" s="1">
        <f t="shared" ref="L1540" si="1621">IFERROR(L1526/L1507,"-")</f>
        <v>1.6166320780382548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0.7711651053457772</v>
      </c>
      <c r="G1541" s="1">
        <f t="shared" si="1622"/>
        <v>0.78723832996732046</v>
      </c>
      <c r="H1541" s="1">
        <f t="shared" si="1622"/>
        <v>0.81134816689963307</v>
      </c>
      <c r="I1541" s="1">
        <f t="shared" si="1622"/>
        <v>0.85153122845348928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1.907883633411088</v>
      </c>
      <c r="G1542" s="1">
        <f t="shared" si="1622"/>
        <v>1.9094479239580475</v>
      </c>
      <c r="H1542" s="1">
        <f t="shared" si="1622"/>
        <v>1.9422488866615137</v>
      </c>
      <c r="I1542" s="1">
        <f t="shared" si="1622"/>
        <v>1.9800733381948761</v>
      </c>
      <c r="J1542" s="1">
        <f t="shared" si="1622"/>
        <v>2.0209272480551808</v>
      </c>
      <c r="K1542" s="1">
        <f t="shared" si="1622"/>
        <v>2.03965532579236</v>
      </c>
      <c r="L1542" s="1">
        <f t="shared" ref="L1542" si="1624">IFERROR(L1528/L1514,"-")</f>
        <v>2.0478846576657688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1.1027629847473186</v>
      </c>
      <c r="G1543" s="1">
        <f t="shared" si="1622"/>
        <v>1.1050191842826376</v>
      </c>
      <c r="H1543" s="1">
        <f t="shared" si="1622"/>
        <v>1.1057099384720861</v>
      </c>
      <c r="I1543" s="1">
        <f t="shared" si="1622"/>
        <v>1.1075047907142146</v>
      </c>
      <c r="J1543" s="1">
        <f t="shared" si="1622"/>
        <v>1.1130982405010894</v>
      </c>
      <c r="K1543" s="1">
        <f t="shared" si="1622"/>
        <v>1.1802817506270562</v>
      </c>
      <c r="L1543" s="1">
        <f t="shared" ref="L1543" si="1625">IFERROR(L1529/L1515,"-")</f>
        <v>1.2162447966563754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0.72942698043637011</v>
      </c>
      <c r="G1544" s="1">
        <f t="shared" si="1622"/>
        <v>0.73052241197071599</v>
      </c>
      <c r="H1544" s="1">
        <f t="shared" si="1622"/>
        <v>0.73128974811804781</v>
      </c>
      <c r="I1544" s="1">
        <f t="shared" si="1622"/>
        <v>0.73281932392731264</v>
      </c>
      <c r="J1544" s="1">
        <f t="shared" si="1622"/>
        <v>0.7323350757687912</v>
      </c>
      <c r="K1544" s="1">
        <f t="shared" si="1622"/>
        <v>0.74172244833793555</v>
      </c>
      <c r="L1544" s="1">
        <f t="shared" ref="L1544" si="1626">IFERROR(L1530/L1516,"-")</f>
        <v>0.79477964736244389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0.67580166525687302</v>
      </c>
      <c r="G1545" s="1">
        <f t="shared" si="1622"/>
        <v>0.67679399410138485</v>
      </c>
      <c r="H1545" s="1">
        <f t="shared" si="1622"/>
        <v>0.67735325944947478</v>
      </c>
      <c r="I1545" s="1">
        <f t="shared" si="1622"/>
        <v>0.67832723395646011</v>
      </c>
      <c r="J1545" s="1">
        <f t="shared" si="1622"/>
        <v>0.67851211840429559</v>
      </c>
      <c r="K1545" s="1">
        <f t="shared" si="1622"/>
        <v>0.68024310730125426</v>
      </c>
      <c r="L1545" s="1">
        <f t="shared" ref="L1545" si="1627">IFERROR(L1531/L1517,"-")</f>
        <v>0.70402762952170761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16.746154851561879</v>
      </c>
      <c r="G1546" s="3">
        <f t="shared" ref="G1546:K1546" si="1628">G1547+G1550+G1552+G1559+G1567</f>
        <v>15.627497973858221</v>
      </c>
      <c r="H1546" s="3">
        <f t="shared" si="1628"/>
        <v>14.028188506814873</v>
      </c>
      <c r="I1546" s="3">
        <f t="shared" si="1628"/>
        <v>10.779874618999813</v>
      </c>
      <c r="J1546" s="3">
        <f t="shared" si="1628"/>
        <v>7.9902802033603555</v>
      </c>
      <c r="K1546" s="3">
        <f t="shared" si="1628"/>
        <v>7.4754017704315343</v>
      </c>
      <c r="L1546" s="3">
        <f t="shared" ref="L1546" si="1629">L1547+L1550+L1552+L1559+L1567</f>
        <v>7.9840940551403854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7.3731691560619039E-2</v>
      </c>
      <c r="G1547" s="1">
        <f t="shared" ref="G1547:K1547" si="1632">SUM(G1548:G1549)</f>
        <v>0.16481656189411104</v>
      </c>
      <c r="H1547" s="1">
        <f t="shared" si="1632"/>
        <v>0.21460273354552603</v>
      </c>
      <c r="I1547" s="1">
        <f t="shared" si="1632"/>
        <v>2.9037451050604095</v>
      </c>
      <c r="J1547" s="1">
        <f t="shared" si="1632"/>
        <v>5.8381345518647692</v>
      </c>
      <c r="K1547" s="1">
        <f t="shared" si="1632"/>
        <v>7.2277528001508058</v>
      </c>
      <c r="L1547" s="1">
        <f t="shared" ref="L1547" si="1633">SUM(L1548:L1549)</f>
        <v>7.9840629831802579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3.9519211782301972E-2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3.4576786983343169E-2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2.5780761281755226E-2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1.2384698213797668E-2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3.4212479778317061E-2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0.13023977491076785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0.18882197226377082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2.8913604068466117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5.8381345518647692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7.2277528001508058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7.9840629831802579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8.5705334089631626E-4</v>
      </c>
      <c r="H1550" s="1">
        <f t="shared" si="1635"/>
        <v>1.268651043729762E-3</v>
      </c>
      <c r="I1550" s="1">
        <f t="shared" si="1635"/>
        <v>4.0119301108514343E-4</v>
      </c>
      <c r="J1550" s="1">
        <f t="shared" si="1635"/>
        <v>4.3937895850856499E-5</v>
      </c>
      <c r="K1550" s="1">
        <f t="shared" si="1635"/>
        <v>3.8434867823720456E-5</v>
      </c>
      <c r="L1550" s="1">
        <f t="shared" si="1635"/>
        <v>3.1071960127684729E-5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8.5705334089631626E-4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1.268651043729762E-3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4.0119301108514343E-4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4.3937895850856499E-5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3.8434867823720456E-5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3.1071960127684729E-5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1.1426045680673971</v>
      </c>
      <c r="G1552" s="1">
        <f t="shared" ref="G1552:K1552" si="1636">SUM(G1557:G1558)</f>
        <v>2.4847566615095085</v>
      </c>
      <c r="H1552" s="1">
        <f t="shared" si="1636"/>
        <v>1.531234194045543</v>
      </c>
      <c r="I1552" s="1">
        <f t="shared" si="1636"/>
        <v>1.7782985166803342</v>
      </c>
      <c r="J1552" s="1">
        <f t="shared" si="1636"/>
        <v>1.0195877864784753</v>
      </c>
      <c r="K1552" s="1">
        <f t="shared" si="1636"/>
        <v>0.14727888435140851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1.0800577174111838</v>
      </c>
      <c r="G1553" s="1">
        <f t="shared" ref="G1553:L1553" si="1638">IF(G1552-G1554&lt;0,0,G1552-G1554)</f>
        <v>2.3487160030854031</v>
      </c>
      <c r="H1553" s="1">
        <f t="shared" si="1638"/>
        <v>1.4473940232304285</v>
      </c>
      <c r="I1553" s="1">
        <f t="shared" si="1638"/>
        <v>1.622641821203574</v>
      </c>
      <c r="J1553" s="1">
        <f t="shared" si="1638"/>
        <v>0.94487211750670586</v>
      </c>
      <c r="K1553" s="1">
        <f t="shared" si="1638"/>
        <v>6.3307225388131758E-2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6.254685065621321E-2</v>
      </c>
      <c r="G1554" s="1">
        <f t="shared" ref="G1554:K1554" si="1639">SUM(G1555:G1556)</f>
        <v>0.13604065842410523</v>
      </c>
      <c r="H1554" s="1">
        <f t="shared" si="1639"/>
        <v>8.3840170815114357E-2</v>
      </c>
      <c r="I1554" s="1">
        <f t="shared" si="1639"/>
        <v>0.15565669547676023</v>
      </c>
      <c r="J1554" s="1">
        <f t="shared" si="1639"/>
        <v>7.4715668971769456E-2</v>
      </c>
      <c r="K1554" s="1">
        <f t="shared" si="1639"/>
        <v>8.3971658963276755E-2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6.254685065621321E-2</v>
      </c>
      <c r="G1555" s="1">
        <f>[1]Transport!C$25/SUM([1]Transport!C$21,[1]Transport!C$25)*G1552*(G$35+G$600)/(G$35+G$600+G$39)</f>
        <v>0.13604065842410523</v>
      </c>
      <c r="H1555" s="1">
        <f>[1]Transport!D$25/SUM([1]Transport!D$21,[1]Transport!D$25)*H1552*(H$35+H$600)/(H$35+H$600+H$39)</f>
        <v>8.3840170815114357E-2</v>
      </c>
      <c r="I1555" s="1">
        <f>[1]Transport!E$25/SUM([1]Transport!E$21,[1]Transport!E$25)*I1552*(I$35+I$600)/(I$35+I$600+I$39)</f>
        <v>0.15565669547676023</v>
      </c>
      <c r="J1555" s="1">
        <f>[2]Transport!F$25/SUM([2]Transport!F$21,[2]Transport!F$25)*J1552*(J$35+J$600)/(J$35+J$600+J$39)</f>
        <v>7.4715668971769456E-2</v>
      </c>
      <c r="K1555" s="1">
        <f>[2]Transport!G$25/SUM([2]Transport!G$21,[2]Transport!G$25)*K1552*(K$35+K$600)/(K$35+K$600+K$39)</f>
        <v>6.2191391149798721E-2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2.178026781347803E-2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0.83166199793323137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1.74026824931518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0.55376165763023222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0.27154981516724613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0.31094257013416571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0.74448841219432871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0.97747253641531073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1.506748701513088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1.0195877864784753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0.14727888435140851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15.505105359707931</v>
      </c>
      <c r="G1559" s="1">
        <f t="shared" ref="G1559:K1559" si="1641">SUM(G1564:G1566)</f>
        <v>12.950275711406938</v>
      </c>
      <c r="H1559" s="1">
        <f t="shared" si="1641"/>
        <v>12.247283116217471</v>
      </c>
      <c r="I1559" s="1">
        <f t="shared" si="1641"/>
        <v>6.0928916622375153</v>
      </c>
      <c r="J1559" s="1">
        <f t="shared" si="1641"/>
        <v>1.1297087158613981</v>
      </c>
      <c r="K1559" s="1">
        <f t="shared" si="1641"/>
        <v>9.9966714538313683E-2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15.130817414322925</v>
      </c>
      <c r="G1560" s="1">
        <f t="shared" ref="G1560:L1560" si="1643">IF(G1559-G1561&lt;0,0,G1559-G1561)</f>
        <v>12.612645559863992</v>
      </c>
      <c r="H1560" s="1">
        <f t="shared" si="1643"/>
        <v>11.700006341135857</v>
      </c>
      <c r="I1560" s="1">
        <f t="shared" si="1643"/>
        <v>5.7862831776059975</v>
      </c>
      <c r="J1560" s="1">
        <f t="shared" si="1643"/>
        <v>1.0359487904514195</v>
      </c>
      <c r="K1560" s="1">
        <f t="shared" si="1643"/>
        <v>8.450197728863218E-2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0.37428794538500659</v>
      </c>
      <c r="G1561" s="1">
        <f t="shared" ref="G1561:K1561" si="1644">SUM(G1562:G1563)</f>
        <v>0.33763015154294518</v>
      </c>
      <c r="H1561" s="1">
        <f t="shared" si="1644"/>
        <v>0.54727677508161288</v>
      </c>
      <c r="I1561" s="1">
        <f t="shared" si="1644"/>
        <v>0.30660848463151807</v>
      </c>
      <c r="J1561" s="1">
        <f t="shared" si="1644"/>
        <v>9.3759925409978601E-2</v>
      </c>
      <c r="K1561" s="1">
        <f t="shared" si="1644"/>
        <v>1.5464737249681507E-2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0.37428794538500659</v>
      </c>
      <c r="G1562" s="1">
        <f>[1]Transport!C$26/SUM([1]Transport!C$22,[1]Transport!C$26)*G1559*(G$34+G$582)/(G$34+G$582+G$38)</f>
        <v>0.33763015154294518</v>
      </c>
      <c r="H1562" s="1">
        <f>[1]Transport!D$26/SUM([1]Transport!D$22,[1]Transport!D$26)*H1559*(H$34+H$582)/(H$34+H$582+H$38)</f>
        <v>0.54727677508161288</v>
      </c>
      <c r="I1562" s="1">
        <f>[1]Transport!E$26/SUM([1]Transport!E$22,[1]Transport!E$26)*I1559*(I$34+I$582)/(I$34+I$582+I$38)</f>
        <v>0.30660848463151807</v>
      </c>
      <c r="J1562" s="1">
        <f>[2]Transport!F$26/SUM([2]Transport!F$22,[2]Transport!F$26)*J1559*(J$34+J$582)/(J$34+J$582+J$38)</f>
        <v>9.3759925409978601E-2</v>
      </c>
      <c r="K1562" s="1">
        <f>[2]Transport!G$26/SUM([2]Transport!G$22,[2]Transport!G$26)*K1559*(K$34+K$582)/(K$34+K$582+K$38)</f>
        <v>1.5439436446932849E-2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2.5300802748658604E-5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11.106116530533903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7.4902628750306288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5.4684911251447881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2.7260035426314948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4.3989888291740282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5.2516929119839455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5.1524301739934444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2.1659502311627272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8.5308222927341724E-3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8.2844880604423686E-4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0.20831992439236316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1.6263618170792393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1.2009378884432929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1.1211778935686638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9.9138265732269443E-2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2.4713232225930182E-2</v>
      </c>
      <c r="G1567" s="1">
        <f t="shared" ref="G1567:K1567" si="1646">G1572</f>
        <v>2.6791985706767552E-2</v>
      </c>
      <c r="H1567" s="1">
        <f t="shared" si="1646"/>
        <v>3.3799811962603565E-2</v>
      </c>
      <c r="I1567" s="1">
        <f t="shared" si="1646"/>
        <v>4.5381420104671309E-3</v>
      </c>
      <c r="J1567" s="1">
        <f t="shared" si="1646"/>
        <v>2.8052112598626103E-3</v>
      </c>
      <c r="K1567" s="1">
        <f t="shared" si="1646"/>
        <v>3.6493652318306431E-4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2.2723868807264892E-2</v>
      </c>
      <c r="G1568" s="1">
        <f t="shared" ref="G1568:L1568" si="1648">IF(G1567-G1569&lt;0,0,G1567-G1569)</f>
        <v>2.417907903291909E-2</v>
      </c>
      <c r="H1568" s="1">
        <f t="shared" si="1648"/>
        <v>3.06382304545443E-2</v>
      </c>
      <c r="I1568" s="1">
        <f t="shared" si="1648"/>
        <v>3.778832016056455E-3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1.9893634186652896E-3</v>
      </c>
      <c r="G1569" s="1">
        <f t="shared" ref="G1569:K1569" si="1649">SUM(G1570:G1571)</f>
        <v>2.6129066738484626E-3</v>
      </c>
      <c r="H1569" s="1">
        <f t="shared" si="1649"/>
        <v>3.1615815080592666E-3</v>
      </c>
      <c r="I1569" s="1">
        <f t="shared" si="1649"/>
        <v>7.5930999441067609E-4</v>
      </c>
      <c r="J1569" s="1">
        <f t="shared" si="1649"/>
        <v>2.596045226453865E-2</v>
      </c>
      <c r="K1569" s="1">
        <f t="shared" si="1649"/>
        <v>0.12765106615844835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1.9893634186652896E-3</v>
      </c>
      <c r="G1570" s="1">
        <f>[1]Transport!C$27/SUM([1]Transport!C$24,[1]Transport!C$27)*G1567*(G$47+G$614)/(G$47+G$614+G$49)</f>
        <v>2.6129066738484626E-3</v>
      </c>
      <c r="H1570" s="1">
        <f>[1]Transport!D$27/SUM([1]Transport!D$24,[1]Transport!D$27)*H1567*(H$47+H$614)/(H$47+H$614+H$49)</f>
        <v>3.1615815080592666E-3</v>
      </c>
      <c r="I1570" s="1">
        <f>[1]Transport!E$27/SUM([1]Transport!E$24,[1]Transport!E$27)*I1567*(I$47+I$614)/(I$47+I$614+I$49)</f>
        <v>7.5930999441067609E-4</v>
      </c>
      <c r="J1570" s="1">
        <f>[2]Transport!F$27/SUM([2]Transport!F$24,[2]Transport!F$27)*J1567*(J$47+J$614)/(J$47+J$614+J$49)</f>
        <v>5.6250725039167567E-4</v>
      </c>
      <c r="K1570" s="1">
        <f>[2]Transport!G$27/SUM([2]Transport!G$24,[2]Transport!G$27)*K1567*(K$47+K$614)/(K$47+K$614+K$49)</f>
        <v>1.0782250521211388E-4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2.5397945014146973E-2</v>
      </c>
      <c r="K1571" s="1">
        <f>(K$49+K$716)/([2]Transport!G$24+[2]Transport!G$27)*K1567</f>
        <v>0.12754324365323624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2.4713232225930182E-2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2.6791985706767552E-2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3.3799811962603565E-2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4.5381420104671309E-3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2.8052112598626103E-3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3.6493652318306431E-4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4.7803876426049872</v>
      </c>
      <c r="G1573" s="3">
        <f t="shared" ref="G1573:K1573" si="1651">SUM(G1574:G1582)</f>
        <v>4.7704279757921242</v>
      </c>
      <c r="H1573" s="3">
        <f t="shared" si="1651"/>
        <v>4.7092082255660062</v>
      </c>
      <c r="I1573" s="3">
        <f t="shared" si="1651"/>
        <v>4.6479370986648227</v>
      </c>
      <c r="J1573" s="3">
        <f t="shared" si="1651"/>
        <v>4.8564101052146489</v>
      </c>
      <c r="K1573" s="3">
        <f t="shared" si="1651"/>
        <v>5.0225145627048686</v>
      </c>
      <c r="L1573" s="3">
        <f t="shared" ref="L1573" si="1652">SUM(L1574:L1582)</f>
        <v>5.4400201171701141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2.7237543907744723E-2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2.4053218470938761E-2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1.8182701675714088E-2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8.7347022263688911E-3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2.3310932083846735E-2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8.8739856544527054E-2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0.12865528017552175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1.9700503006695596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3.9778571713217423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4.9246840841373301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5.4400017525775759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3.986184500137294E-4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6.0023490627610608E-4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1.9825360342799568E-4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2.3268016392878657E-5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2.1658507890802265E-5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1.8364592538655402E-5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0.23085544539155137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0.48757154799947011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0.15729653438406543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7.7133987609815685E-2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0.10921223831108169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0.26148637626981458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0.34331729985850745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0.52921476204933138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0.35810942280405478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5.17287054295461E-2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2.8768910679731654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2.0069220302618147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1.5382247735055503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0.76679399965719586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1.5049579228836167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1.7966803652752117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1.7627211419657105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0.7410030094511475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2.9185181178496221E-3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2.8342436018275786E-4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9.5987070062571622E-2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0.74937481922780114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0.55335325977599581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0.51660243894811597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4.5679700040607611E-2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7.9224920539807727E-3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8.5888924577628162E-3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1.0835439866858306E-2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1.4548236219800634E-3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8.9928600649332672E-4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1.1699022931090417E-4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0.68922285337539568</v>
      </c>
      <c r="G1584" s="1">
        <f t="shared" ref="G1584:K1584" si="1653">IFERROR(G1574/G1548,"-")</f>
        <v>0.69564643130450576</v>
      </c>
      <c r="H1584" s="1">
        <f t="shared" si="1653"/>
        <v>0.70528179819817016</v>
      </c>
      <c r="I1584" s="1">
        <f t="shared" si="1653"/>
        <v>0.70528179819817061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0.68135756995377372</v>
      </c>
      <c r="G1585" s="1">
        <f t="shared" ref="G1585:K1585" si="1655">IFERROR(G1575/G1549,"-")</f>
        <v>0.68135756995377217</v>
      </c>
      <c r="H1585" s="1">
        <f t="shared" si="1655"/>
        <v>0.68135756995377372</v>
      </c>
      <c r="I1585" s="1">
        <f t="shared" si="1655"/>
        <v>0.68135756995377295</v>
      </c>
      <c r="J1585" s="1">
        <f t="shared" si="1655"/>
        <v>0.68135756995377361</v>
      </c>
      <c r="K1585" s="1">
        <f t="shared" si="1655"/>
        <v>0.68135756995377283</v>
      </c>
      <c r="L1585" s="1">
        <f t="shared" ref="L1585" si="1656">IFERROR(L1575/L1549,"-")</f>
        <v>0.6813575699537735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0.4651034317150548</v>
      </c>
      <c r="H1586" s="1">
        <f t="shared" si="1657"/>
        <v>0.47312845344094745</v>
      </c>
      <c r="I1586" s="1">
        <f t="shared" si="1657"/>
        <v>0.49416016219166187</v>
      </c>
      <c r="J1586" s="1">
        <f t="shared" si="1657"/>
        <v>0.5295660145369725</v>
      </c>
      <c r="K1586" s="1">
        <f t="shared" si="1657"/>
        <v>0.56351196497248013</v>
      </c>
      <c r="L1586" s="1">
        <f t="shared" ref="L1586" si="1658">IFERROR(L1576/L1551,"-")</f>
        <v>0.59103424641346591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659">IFERROR(G1577/G1557,"-")</f>
        <v>0.28017034051580059</v>
      </c>
      <c r="H1587" s="1">
        <f t="shared" si="1659"/>
        <v>0.28405096708428723</v>
      </c>
      <c r="I1587" s="1">
        <f t="shared" si="1659"/>
        <v>0.28405096708428712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0.35122961215622139</v>
      </c>
      <c r="G1588" s="1">
        <f t="shared" ref="G1588:K1588" si="1661">IFERROR(G1578/G1558,"-")</f>
        <v>0.35122961215622062</v>
      </c>
      <c r="H1588" s="1">
        <f t="shared" si="1661"/>
        <v>0.35122961215622128</v>
      </c>
      <c r="I1588" s="1">
        <f t="shared" si="1661"/>
        <v>0.35122961215622089</v>
      </c>
      <c r="J1588" s="1">
        <f t="shared" si="1661"/>
        <v>0.35122961215622106</v>
      </c>
      <c r="K1588" s="1">
        <f t="shared" si="1661"/>
        <v>0.35122961215622073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63">IFERROR(G1579/G1564,"-")</f>
        <v>0.26793746277611225</v>
      </c>
      <c r="H1589" s="1">
        <f t="shared" si="1663"/>
        <v>0.28128870255135013</v>
      </c>
      <c r="I1589" s="1">
        <f t="shared" si="1663"/>
        <v>0.28128870255134963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65">IFERROR(G1580/G1565,"-")</f>
        <v>0.34211451343153176</v>
      </c>
      <c r="H1590" s="1">
        <f t="shared" si="1665"/>
        <v>0.34211451343153193</v>
      </c>
      <c r="I1590" s="1">
        <f t="shared" si="1665"/>
        <v>0.34211451343153054</v>
      </c>
      <c r="J1590" s="1">
        <f t="shared" si="1665"/>
        <v>0.34211451343153254</v>
      </c>
      <c r="K1590" s="1">
        <f t="shared" si="1665"/>
        <v>0.34211451343153215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0.46076759264650746</v>
      </c>
      <c r="H1591" s="1">
        <f t="shared" si="1667"/>
        <v>0.4607675926465078</v>
      </c>
      <c r="I1591" s="1">
        <f t="shared" si="1667"/>
        <v>0.4607675926465073</v>
      </c>
      <c r="J1591" s="1">
        <f t="shared" si="1667"/>
        <v>0.46076759264650796</v>
      </c>
      <c r="K1591" s="1">
        <f t="shared" si="1667"/>
        <v>0.46076759264650824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0.32057692743518001</v>
      </c>
      <c r="G1592" s="1">
        <f t="shared" ref="G1592:K1592" si="1669">IFERROR(G1582/G1572,"-")</f>
        <v>0.32057692743518057</v>
      </c>
      <c r="H1592" s="1">
        <f t="shared" si="1669"/>
        <v>0.3205769274351804</v>
      </c>
      <c r="I1592" s="1">
        <f t="shared" si="1669"/>
        <v>0.32057692743518001</v>
      </c>
      <c r="J1592" s="1">
        <f t="shared" si="1669"/>
        <v>0.32057692743518029</v>
      </c>
      <c r="K1592" s="1">
        <f t="shared" si="1669"/>
        <v>0.32057692743518024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24.493844366224497</v>
      </c>
      <c r="G1593" s="3">
        <f t="shared" ref="G1593" si="1671">G1594+G1597+G1599+G1606+G1614</f>
        <v>22.869550419304488</v>
      </c>
      <c r="H1593" s="3">
        <f t="shared" ref="H1593" si="1672">H1594+H1597+H1599+H1606+H1614</f>
        <v>20.483287856355357</v>
      </c>
      <c r="I1593" s="3">
        <f t="shared" ref="I1593" si="1673">I1594+I1597+I1599+I1606+I1614</f>
        <v>14.559628673888035</v>
      </c>
      <c r="J1593" s="3">
        <f t="shared" ref="J1593" si="1674">J1594+J1597+J1599+J1606+J1614</f>
        <v>12.633124282659859</v>
      </c>
      <c r="K1593" s="3">
        <f t="shared" ref="K1593:L1593" si="1675">K1594+K1597+K1599+K1606+K1614</f>
        <v>11.814436890662664</v>
      </c>
      <c r="L1593" s="3">
        <f t="shared" si="1675"/>
        <v>8.1516168926310879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9.7914525133997368E-3</v>
      </c>
      <c r="G1594" s="1">
        <f t="shared" ref="G1594" si="1678">SUM(G1595:G1596)</f>
        <v>3.9914238527417281E-2</v>
      </c>
      <c r="H1594" s="1">
        <f t="shared" ref="H1594" si="1679">SUM(H1595:H1596)</f>
        <v>5.8172239882340576E-2</v>
      </c>
      <c r="I1594" s="1">
        <f t="shared" ref="I1594" si="1680">SUM(I1595:I1596)</f>
        <v>2.5762202347614376</v>
      </c>
      <c r="J1594" s="1">
        <f t="shared" ref="J1594" si="1681">SUM(J1595:J1596)</f>
        <v>2.671751118381462</v>
      </c>
      <c r="K1594" s="1">
        <f t="shared" ref="K1594:L1594" si="1682">SUM(K1595:K1596)</f>
        <v>3.9505423459243252</v>
      </c>
      <c r="L1594" s="1">
        <f t="shared" si="1682"/>
        <v>7.9810032798782506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9.7914525133997368E-3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3.9914238527417281E-2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5.8172239882340576E-2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2.5762202347614376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2.671751118381462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3.9505423459243252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7.9810032798782506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4.6087908476744157E-3</v>
      </c>
      <c r="G1597" s="1">
        <f t="shared" ref="G1597" si="1684">G1598</f>
        <v>1.4122655236471049E-2</v>
      </c>
      <c r="H1597" s="1">
        <f t="shared" ref="H1597" si="1685">H1598</f>
        <v>1.4181376923106181E-2</v>
      </c>
      <c r="I1597" s="1">
        <f t="shared" ref="I1597" si="1686">I1598</f>
        <v>5.2476662131087483E-3</v>
      </c>
      <c r="J1597" s="1">
        <f t="shared" ref="J1597" si="1687">J1598</f>
        <v>5.3199578731260579E-4</v>
      </c>
      <c r="K1597" s="1">
        <f t="shared" ref="K1597:L1597" si="1688">K1598</f>
        <v>5.2331371310815463E-4</v>
      </c>
      <c r="L1597" s="1">
        <f t="shared" si="1688"/>
        <v>4.3652973142563448E-4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4.6087908476744157E-3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1.4122655236471049E-2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1.4181376923106181E-2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5.2476662131087483E-3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5.3199578731260579E-4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5.2331371310815463E-4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4.3652973142563448E-4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24.419085661172968</v>
      </c>
      <c r="G1606" s="1">
        <f t="shared" ref="G1606:K1606" si="1695">SUM(G1611:G1613)</f>
        <v>22.780296868457707</v>
      </c>
      <c r="H1606" s="1">
        <f t="shared" si="1695"/>
        <v>20.367808026636933</v>
      </c>
      <c r="I1606" s="1">
        <f t="shared" si="1695"/>
        <v>11.936198680067706</v>
      </c>
      <c r="J1606" s="1">
        <f t="shared" si="1695"/>
        <v>9.9056827474846614</v>
      </c>
      <c r="K1606" s="1">
        <f t="shared" si="1695"/>
        <v>7.8269522472515138</v>
      </c>
      <c r="L1606" s="1">
        <f t="shared" ref="L1606" si="1696">SUM(L1611:L1613)</f>
        <v>0.16740364116229881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23.829617277162381</v>
      </c>
      <c r="G1607" s="1">
        <f t="shared" ref="G1607:L1607" si="1697">IF(G1606-G1608&lt;0,0,G1606-G1608)</f>
        <v>22.186385568398208</v>
      </c>
      <c r="H1607" s="1">
        <f t="shared" si="1697"/>
        <v>19.457661001658064</v>
      </c>
      <c r="I1607" s="1">
        <f t="shared" si="1697"/>
        <v>11.335541390813969</v>
      </c>
      <c r="J1607" s="1">
        <f t="shared" si="1697"/>
        <v>9.0835627952358191</v>
      </c>
      <c r="K1607" s="1">
        <f t="shared" si="1697"/>
        <v>6.6161316203201581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0.58946838401058577</v>
      </c>
      <c r="G1608" s="1">
        <f t="shared" ref="G1608:K1608" si="1698">SUM(G1609:G1610)</f>
        <v>0.59391130005949955</v>
      </c>
      <c r="H1608" s="1">
        <f t="shared" si="1698"/>
        <v>0.9101470249788679</v>
      </c>
      <c r="I1608" s="1">
        <f t="shared" si="1698"/>
        <v>0.60065728925373774</v>
      </c>
      <c r="J1608" s="1">
        <f t="shared" si="1698"/>
        <v>0.82211995224884249</v>
      </c>
      <c r="K1608" s="1">
        <f t="shared" si="1698"/>
        <v>1.2108206269313559</v>
      </c>
      <c r="L1608" s="1">
        <f t="shared" ref="L1608" si="1699">SUM(L1609:L1610)</f>
        <v>0.19898171104309537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0.58946838401058577</v>
      </c>
      <c r="G1609" s="1">
        <f>[1]Transport!C$26/SUM([1]Transport!C$22,[1]Transport!C$26)*G1606*(G$34+G$582)/(G$34+G$582+G$38)</f>
        <v>0.59391130005949955</v>
      </c>
      <c r="H1609" s="1">
        <f>[1]Transport!D$26/SUM([1]Transport!D$22,[1]Transport!D$26)*H1606*(H$34+H$582)/(H$34+H$582+H$38)</f>
        <v>0.9101470249788679</v>
      </c>
      <c r="I1609" s="1">
        <f>[1]Transport!E$26/SUM([1]Transport!E$22,[1]Transport!E$26)*I1606*(I$34+I$582)/(I$34+I$582+I$38)</f>
        <v>0.60065728925373774</v>
      </c>
      <c r="J1609" s="1">
        <f>[2]Transport!F$26/SUM([2]Transport!F$22,[2]Transport!F$26)*J1606*(J$34+J$582)/(J$34+J$582+J$38)</f>
        <v>0.82211995224884249</v>
      </c>
      <c r="K1609" s="1">
        <f>[2]Transport!G$26/SUM([2]Transport!G$22,[2]Transport!G$26)*K1606*(K$34+K$582)/(K$34+K$582+K$38)</f>
        <v>1.2088396858166515</v>
      </c>
      <c r="L1609" s="1">
        <f>[2]Transport!H$26/SUM([2]Transport!H$22,[2]Transport!H$26)*L1606*(L$34+L$582)/(L$34+L$582+L$38)</f>
        <v>7.1172107727865516E-2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1.9809411147045709E-3</v>
      </c>
      <c r="L1610" s="1">
        <f>(L$38+L$718)/([2]Transport!H$22+[2]Transport!H$26)*L1606</f>
        <v>0.12780960331522984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19.168517225299297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15.578436377329401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11.513182344825596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4.9592164336573603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5.2505684358736708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6.1664743086861487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4.8081552621411419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0.45680286297133099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1.8035978227555539E-3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1.8360360442790801E-3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1.6429757175867579E-4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1.0353861824421562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4.0464704196701975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6.5201793834390145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9.9038791496619059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7.8251162112072343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0.16723934359054013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6.0358461690455945E-2</v>
      </c>
      <c r="G1614" s="1">
        <f t="shared" ref="G1614:K1614" si="1700">G1619</f>
        <v>3.5216657082892962E-2</v>
      </c>
      <c r="H1614" s="1">
        <f t="shared" si="1700"/>
        <v>4.3126212912977586E-2</v>
      </c>
      <c r="I1614" s="1">
        <f t="shared" si="1700"/>
        <v>4.1962092845783096E-2</v>
      </c>
      <c r="J1614" s="1">
        <f t="shared" si="1700"/>
        <v>5.515842100642359E-2</v>
      </c>
      <c r="K1614" s="1">
        <f t="shared" si="1700"/>
        <v>3.6418983773716503E-2</v>
      </c>
      <c r="L1614" s="1">
        <f t="shared" ref="L1614" si="1701">L1619</f>
        <v>2.7734418591114393E-3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5.549973197852795E-2</v>
      </c>
      <c r="G1615" s="1">
        <f t="shared" ref="G1615:L1615" si="1702">IF(G1614-G1616&lt;0,0,G1614-G1616)</f>
        <v>3.1782128588826154E-2</v>
      </c>
      <c r="H1615" s="1">
        <f t="shared" si="1702"/>
        <v>3.9092254457553266E-2</v>
      </c>
      <c r="I1615" s="1">
        <f t="shared" si="1702"/>
        <v>3.4941105752231985E-2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4.8587297119279931E-3</v>
      </c>
      <c r="G1616" s="1">
        <f t="shared" ref="G1616:K1616" si="1703">SUM(G1617:G1618)</f>
        <v>3.4345284940668058E-3</v>
      </c>
      <c r="H1616" s="1">
        <f t="shared" si="1703"/>
        <v>4.0339584554243187E-3</v>
      </c>
      <c r="I1616" s="1">
        <f t="shared" si="1703"/>
        <v>7.0209870935511141E-3</v>
      </c>
      <c r="J1616" s="1">
        <f t="shared" si="1703"/>
        <v>6.6218911237661784E-2</v>
      </c>
      <c r="K1616" s="1">
        <f t="shared" si="1703"/>
        <v>4.7179173062283905E-2</v>
      </c>
      <c r="L1616" s="1">
        <f t="shared" ref="L1616" si="1704">SUM(L1617:L1618)</f>
        <v>4.1539279194892599E-3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4.8587297119279931E-3</v>
      </c>
      <c r="G1617" s="1">
        <f>[1]Transport!C$27/SUM([1]Transport!C$24,[1]Transport!C$27)*G1614*(G$47+G$614)/(G$47+G$614+G$49)</f>
        <v>3.4345284940668058E-3</v>
      </c>
      <c r="H1617" s="1">
        <f>[1]Transport!D$27/SUM([1]Transport!D$24,[1]Transport!D$27)*H1614*(H$47+H$614)/(H$47+H$614+H$49)</f>
        <v>4.0339584554243187E-3</v>
      </c>
      <c r="I1617" s="1">
        <f>[1]Transport!E$27/SUM([1]Transport!E$24,[1]Transport!E$27)*I1614*(I$47+I$614)/(I$47+I$614+I$49)</f>
        <v>7.0209870935511141E-3</v>
      </c>
      <c r="J1617" s="1">
        <f>[2]Transport!F$27/SUM([2]Transport!F$24,[2]Transport!F$27)*J1614*(J$47+J$614)/(J$47+J$614+J$49)</f>
        <v>1.1060490231238191E-2</v>
      </c>
      <c r="K1617" s="1">
        <f>[2]Transport!G$27/SUM([2]Transport!G$24,[2]Transport!G$27)*K1614*(K$47+K$614)/(K$47+K$614+K$49)</f>
        <v>1.0760189288567402E-2</v>
      </c>
      <c r="L1617" s="1">
        <f>[2]Transport!H$27/SUM([2]Transport!H$24,[2]Transport!H$27)*L1614*(L$47+L$614)/(L$47+L$614+L$49)</f>
        <v>1.3804860603778208E-3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5.515842100642359E-2</v>
      </c>
      <c r="K1618" s="1">
        <f>IF((K$49+K$716)/([2]Transport!G$24+[2]Transport!G$27)*K1614&gt;K1614,K1614,(K$49+K$716)/([2]Transport!G$24+[2]Transport!G$27)*K1614)</f>
        <v>3.6418983773716503E-2</v>
      </c>
      <c r="L1618" s="1">
        <f>IF((L$49+L$716)/([2]Transport!H$24+[2]Transport!H$27)*L1614&gt;L1614,L1614,(L$49+L$716)/([2]Transport!H$24+[2]Transport!H$27)*L1614)</f>
        <v>2.7734418591114393E-3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6.0358461690455945E-2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3.5216657082892962E-2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4.3126212912977586E-2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4.1962092845783096E-2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5.515842100642359E-2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3.6418983773716503E-2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2.7734418591114393E-3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2.2038568080288674</v>
      </c>
      <c r="G1620" s="3">
        <f t="shared" ref="G1620" si="1705">SUM(G1621:G1629)</f>
        <v>2.2267242478335252</v>
      </c>
      <c r="H1620" s="3">
        <f t="shared" ref="H1620" si="1706">SUM(H1621:H1629)</f>
        <v>2.2575406102059503</v>
      </c>
      <c r="I1620" s="3">
        <f t="shared" ref="I1620" si="1707">SUM(I1621:I1629)</f>
        <v>2.3110167842809854</v>
      </c>
      <c r="J1620" s="3">
        <f t="shared" ref="J1620" si="1708">SUM(J1621:J1629)</f>
        <v>2.4257211035227813</v>
      </c>
      <c r="K1620" s="3">
        <f t="shared" ref="K1620:L1620" si="1709">SUM(K1621:K1629)</f>
        <v>2.5244939930151862</v>
      </c>
      <c r="L1620" s="3">
        <f t="shared" si="1709"/>
        <v>2.728604610805847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2.6312351418576866E-3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1.0838929443188179E-2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1.598971000549948E-2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0.75365426834579996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0.80007772821933643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1.2407150361710528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2.7008163477284968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8.0404380388603451E-4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2.4770105580335529E-3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2.4925966819578241E-3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9.455148011890094E-4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1.0328368108528234E-4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1.0387561730954287E-4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9.494985104132319E-5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1.5709301792634554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1.3085296230128249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1.0023380432991076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0.43174954999674281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0.6232609288790425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0.73198217535488175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0.57074493009214755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5.4224105478732625E-2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2.1409340113625225E-4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2.1794393205016316E-4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1.9502699267235537E-5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0.1692513199482989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0.66146378160613506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1.0658331989169563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1.6189559481419484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1.2791471143373558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2.7338089043473714E-2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6.2304209406257123E-3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3.645189516297899E-3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4.5115485211031144E-3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4.6101467415647877E-3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6.3700500792749108E-3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4.310022957417582E-3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3.3572148356811099E-4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0.26872776416540911</v>
      </c>
      <c r="G1632" s="1">
        <f t="shared" ref="G1632:K1632" si="1713">IFERROR(G1622/G1596,"-")</f>
        <v>0.27155546098525385</v>
      </c>
      <c r="H1632" s="1">
        <f t="shared" si="1713"/>
        <v>0.2748683914843289</v>
      </c>
      <c r="I1632" s="1">
        <f t="shared" si="1713"/>
        <v>0.29254263986308204</v>
      </c>
      <c r="J1632" s="1">
        <f t="shared" si="1713"/>
        <v>0.29945818033530791</v>
      </c>
      <c r="K1632" s="1">
        <f t="shared" si="1713"/>
        <v>0.31406195087392674</v>
      </c>
      <c r="L1632" s="1">
        <f t="shared" ref="L1632" si="1714">IFERROR(L1622/L1596,"-")</f>
        <v>0.33840561806781982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0.17445873125089914</v>
      </c>
      <c r="G1633" s="1">
        <f t="shared" ref="G1633:K1633" si="1715">IFERROR(G1623/G1598,"-")</f>
        <v>0.17539269468511823</v>
      </c>
      <c r="H1633" s="1">
        <f t="shared" si="1715"/>
        <v>0.17576549128290603</v>
      </c>
      <c r="I1633" s="1">
        <f t="shared" si="1715"/>
        <v>0.18017815211400057</v>
      </c>
      <c r="J1633" s="1">
        <f t="shared" si="1715"/>
        <v>0.19414379502330883</v>
      </c>
      <c r="K1633" s="1">
        <f t="shared" si="1715"/>
        <v>0.19849588250341649</v>
      </c>
      <c r="L1633" s="1">
        <f t="shared" ref="L1633" si="1716">IFERROR(L1623/L1598,"-")</f>
        <v>0.21751061658786117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8.195366187166972E-2</v>
      </c>
      <c r="G1636" s="1">
        <f t="shared" ref="G1636:K1636" si="1721">IFERROR(G1626/G1611,"-")</f>
        <v>8.399621061566033E-2</v>
      </c>
      <c r="H1636" s="1">
        <f t="shared" si="1721"/>
        <v>8.7060033731646003E-2</v>
      </c>
      <c r="I1636" s="1">
        <f t="shared" si="1721"/>
        <v>8.7060033731645975E-2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0.11870351496053488</v>
      </c>
      <c r="G1637" s="1">
        <f t="shared" ref="G1637:K1637" si="1723">IFERROR(G1627/G1612,"-")</f>
        <v>0.11870351496053512</v>
      </c>
      <c r="H1637" s="1">
        <f t="shared" si="1723"/>
        <v>0.1187035149605353</v>
      </c>
      <c r="I1637" s="1">
        <f t="shared" si="1723"/>
        <v>0.11870351496053504</v>
      </c>
      <c r="J1637" s="1">
        <f t="shared" si="1723"/>
        <v>0.11870351496053501</v>
      </c>
      <c r="K1637" s="1">
        <f t="shared" si="1723"/>
        <v>0.11870351496053494</v>
      </c>
      <c r="L1637" s="1">
        <f t="shared" ref="L1637" si="1724">IFERROR(L1627/L1612,"-")</f>
        <v>0.11870351496053495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0.16346685209675804</v>
      </c>
      <c r="H1638" s="1">
        <f t="shared" si="1725"/>
        <v>0.16346685209675815</v>
      </c>
      <c r="I1638" s="1">
        <f t="shared" si="1725"/>
        <v>0.16346685209675801</v>
      </c>
      <c r="J1638" s="1">
        <f t="shared" si="1725"/>
        <v>0.16346685209675804</v>
      </c>
      <c r="K1638" s="1">
        <f t="shared" si="1725"/>
        <v>0.16346685209675793</v>
      </c>
      <c r="L1638" s="1">
        <f t="shared" ref="L1638" si="1726">IFERROR(L1628/L1613,"-")</f>
        <v>0.16346685209675799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0.10322365358776009</v>
      </c>
      <c r="G1639" s="1">
        <f t="shared" ref="G1639:K1639" si="1727">IFERROR(G1629/G1619,"-")</f>
        <v>0.10350753927943394</v>
      </c>
      <c r="H1639" s="1">
        <f t="shared" si="1727"/>
        <v>0.10461267559492789</v>
      </c>
      <c r="I1639" s="1">
        <f t="shared" si="1727"/>
        <v>0.1098645570064334</v>
      </c>
      <c r="J1639" s="1">
        <f t="shared" si="1727"/>
        <v>0.11548644727399056</v>
      </c>
      <c r="K1639" s="1">
        <f t="shared" si="1727"/>
        <v>0.11834550310896143</v>
      </c>
      <c r="L1639" s="1">
        <f t="shared" ref="L1639" si="1728">IFERROR(L1629/L1619,"-")</f>
        <v>0.12104868269193503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28.743255555562083</v>
      </c>
      <c r="G1640" s="1">
        <f t="shared" ref="G1640:K1640" si="1729">G1641+G1645+G1649+G1655</f>
        <v>27.889636092720753</v>
      </c>
      <c r="H1640" s="1">
        <f t="shared" si="1729"/>
        <v>27.091262832232147</v>
      </c>
      <c r="I1640" s="1">
        <f t="shared" si="1729"/>
        <v>25.163720239379224</v>
      </c>
      <c r="J1640" s="1">
        <f t="shared" si="1729"/>
        <v>25.976974809940831</v>
      </c>
      <c r="K1640" s="1">
        <f t="shared" si="1729"/>
        <v>23.112641129439368</v>
      </c>
      <c r="L1640" s="1">
        <f t="shared" ref="L1640" si="1730">L1641+L1645+L1649+L1655</f>
        <v>20.724456944839972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9.2070511298963744</v>
      </c>
      <c r="G1641" s="1">
        <f t="shared" ref="G1641:K1641" si="1733">SUM(G1642:G1644)</f>
        <v>9.531983149429303</v>
      </c>
      <c r="H1641" s="1">
        <f t="shared" si="1733"/>
        <v>10.020495411761253</v>
      </c>
      <c r="I1641" s="1">
        <f t="shared" si="1733"/>
        <v>11.802922946191748</v>
      </c>
      <c r="J1641" s="1">
        <f t="shared" si="1733"/>
        <v>12.623486494534395</v>
      </c>
      <c r="K1641" s="1">
        <f t="shared" si="1733"/>
        <v>15.486444389602395</v>
      </c>
      <c r="L1641" s="1">
        <f t="shared" ref="L1641" si="1734">SUM(L1642:L1644)</f>
        <v>18.591165930839374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9.4440196589962646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9.9508281324067713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10.704439194332391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1.5023311167954285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1.58982579247647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1.7436200827316508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1.893263601974257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1.9813821575737698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2.0281365159284235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2.180381766148233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3.6251920101909453E-2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6.897387672524781E-2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1.1978493470414102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1.198084677964361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3.5074797412672001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5.7063449703587477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1.1123016218606573E-4</v>
      </c>
      <c r="K1645" s="1">
        <f t="shared" si="1736"/>
        <v>9.0405002929798792E-2</v>
      </c>
      <c r="L1645" s="1">
        <f t="shared" ref="L1645" si="1737">SUM(L1646:L1648)</f>
        <v>9.0558641482290023E-2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1.7307555199940681E-4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2.7811521728520193E-4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1.770274798128989E-4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2.2359440212131926E-4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1.1123016218606573E-4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9.0054899897986485E-2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9.0056931862883507E-2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0.69710776583038736</v>
      </c>
      <c r="H1649" s="1">
        <f t="shared" si="1739"/>
        <v>6.0054928567409849E-2</v>
      </c>
      <c r="I1649" s="1">
        <f t="shared" si="1739"/>
        <v>5.9601476447950767E-2</v>
      </c>
      <c r="J1649" s="1">
        <f t="shared" si="1739"/>
        <v>9.9290672283933942E-3</v>
      </c>
      <c r="K1649" s="1">
        <f t="shared" si="1739"/>
        <v>1.6815441245939269E-2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1.6634748446610594</v>
      </c>
      <c r="G1650" s="1">
        <f t="shared" ref="G1650:K1650" si="1742">G1649-G1651</f>
        <v>0.65894105078533749</v>
      </c>
      <c r="H1650" s="1">
        <f t="shared" si="1742"/>
        <v>5.6766721257933202E-2</v>
      </c>
      <c r="I1650" s="1">
        <f t="shared" si="1742"/>
        <v>5.4384484597368429E-2</v>
      </c>
      <c r="J1650" s="1">
        <f t="shared" si="1742"/>
        <v>9.2014624943298727E-3</v>
      </c>
      <c r="K1650" s="1">
        <f t="shared" si="1742"/>
        <v>7.2280485668099366E-3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9.6332919067298531E-2</v>
      </c>
      <c r="G1651" s="1">
        <f t="shared" ref="G1651:K1651" si="1744">SUM(G1652:G1653)</f>
        <v>3.8166715045049877E-2</v>
      </c>
      <c r="H1651" s="1">
        <f t="shared" si="1744"/>
        <v>3.2882073094766444E-3</v>
      </c>
      <c r="I1651" s="1">
        <f t="shared" si="1744"/>
        <v>5.2169918505823414E-3</v>
      </c>
      <c r="J1651" s="1">
        <f t="shared" si="1744"/>
        <v>7.2760473406352131E-4</v>
      </c>
      <c r="K1651" s="1">
        <f t="shared" si="1744"/>
        <v>9.5873926791293328E-3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9.6332919067298531E-2</v>
      </c>
      <c r="G1652" s="1">
        <f>[1]Transport!C$25/SUM([1]Transport!C$21,[1]Transport!C$25)*G1649*(G$35+G$600)/(G$35+G$600+G$39)</f>
        <v>3.8166715045049877E-2</v>
      </c>
      <c r="H1652" s="1">
        <f>[1]Transport!D$25/SUM([1]Transport!D$21,[1]Transport!D$25)*H1649*(H$35+H$600)/(H$35+H$600+H$39)</f>
        <v>3.2882073094766444E-3</v>
      </c>
      <c r="I1652" s="1">
        <f>[1]Transport!E$25/SUM([1]Transport!E$21,[1]Transport!E$25)*I1649*(I$35+I$600)/(I$35+I$600+I$39)</f>
        <v>5.2169918505823414E-3</v>
      </c>
      <c r="J1652" s="1">
        <f>[2]Transport!F$25/SUM([2]Transport!F$21,[2]Transport!F$25)*J1649*(J$35+J$600)/(J$35+J$600+J$39)</f>
        <v>7.2760473406352131E-4</v>
      </c>
      <c r="K1652" s="1">
        <f>[2]Transport!G$25/SUM([2]Transport!G$21,[2]Transport!G$25)*K1649*(K$35+K$600)/(K$35+K$600+K$39)</f>
        <v>7.1006491425304333E-3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2.4867435365988999E-3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0.69710776583038736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6.0054928567409849E-2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5.9601476447950767E-2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9.9290672283933942E-3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1.6815441245939269E-2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17.776396661937351</v>
      </c>
      <c r="G1655" s="1">
        <f>[1]TRA_FuelByFleet!G$99</f>
        <v>17.660545177461064</v>
      </c>
      <c r="H1655" s="1">
        <f>[1]TRA_FuelByFleet!H$99</f>
        <v>17.010712491903483</v>
      </c>
      <c r="I1655" s="1">
        <f>[1]TRA_FuelByFleet!I$99</f>
        <v>13.301195816739526</v>
      </c>
      <c r="J1655" s="1">
        <f>[2]TRA_FuelByFleet!J$99</f>
        <v>13.343448018015856</v>
      </c>
      <c r="K1655" s="1">
        <f>[2]TRA_FuelByFleet!K$99</f>
        <v>7.5189762956612345</v>
      </c>
      <c r="L1655" s="1">
        <f>[2]TRA_FuelByFleet!L$99</f>
        <v>2.0427323725183082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17.347280520602677</v>
      </c>
      <c r="G1656" s="1">
        <f t="shared" ref="G1656:K1656" si="1746">G1655-G1657</f>
        <v>17.20011231275031</v>
      </c>
      <c r="H1656" s="1">
        <f t="shared" si="1746"/>
        <v>16.250579180207438</v>
      </c>
      <c r="I1656" s="1">
        <f t="shared" si="1746"/>
        <v>12.631848695661729</v>
      </c>
      <c r="J1656" s="1">
        <f t="shared" si="1746"/>
        <v>12.236011496268612</v>
      </c>
      <c r="K1656" s="1">
        <f t="shared" si="1746"/>
        <v>6.3577021935863529</v>
      </c>
      <c r="L1656" s="1">
        <f t="shared" ref="L1656" si="1747">L1655-L1657</f>
        <v>0.9656511432678252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0.42911614133467285</v>
      </c>
      <c r="G1657" s="1">
        <f t="shared" ref="G1657:K1657" si="1748">SUM(G1658:G1659)</f>
        <v>0.46043286471075512</v>
      </c>
      <c r="H1657" s="1">
        <f t="shared" si="1748"/>
        <v>0.76013331169604514</v>
      </c>
      <c r="I1657" s="1">
        <f t="shared" si="1748"/>
        <v>0.66934712107779692</v>
      </c>
      <c r="J1657" s="1">
        <f t="shared" si="1748"/>
        <v>1.1074365217472451</v>
      </c>
      <c r="K1657" s="1">
        <f t="shared" si="1748"/>
        <v>1.1612741020748814</v>
      </c>
      <c r="L1657" s="1">
        <f t="shared" ref="L1657" si="1749">SUM(L1658:L1659)</f>
        <v>1.077081229250483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0.42911614133467285</v>
      </c>
      <c r="G1658" s="1">
        <f>[1]Transport!C$26/SUM([1]Transport!C$22,[1]Transport!C$26)*G1655*(G$34+G$582)/(G$34+G$582+G$38)</f>
        <v>0.46043286471075512</v>
      </c>
      <c r="H1658" s="1">
        <f>[1]Transport!D$26/SUM([1]Transport!D$22,[1]Transport!D$26)*H1655*(H$34+H$582)/(H$34+H$582+H$38)</f>
        <v>0.76013331169604514</v>
      </c>
      <c r="I1658" s="1">
        <f>[1]Transport!E$26/SUM([1]Transport!E$22,[1]Transport!E$26)*I1655*(I$34+I$582)/(I$34+I$582+I$38)</f>
        <v>0.66934712107779692</v>
      </c>
      <c r="J1658" s="1">
        <f>[2]Transport!F$26/SUM([2]Transport!F$22,[2]Transport!F$26)*J1655*(J$34+J$582)/(J$34+J$582+J$38)</f>
        <v>1.1074365217472451</v>
      </c>
      <c r="K1658" s="1">
        <f>[2]Transport!G$26/SUM([2]Transport!G$22,[2]Transport!G$26)*K1655*(K$34+K$582)/(K$34+K$582+K$38)</f>
        <v>1.1612741020748814</v>
      </c>
      <c r="L1658" s="1">
        <f>[2]Transport!H$26/SUM([2]Transport!H$22,[2]Transport!H$26)*L1655*(L$34+L$582)/(L$34+L$582+L$38)</f>
        <v>0.86847315546212744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0.20860807378835555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0.3959988556026412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0.27944352419467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1.1665279179039792E-2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5.0323164360419762E-3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3.9966353254878483E-4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3.0310779623974731E-4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17.381101653266395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16.999047212724442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13.296163500303484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13.343048354483306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7.5186731878649944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2.0427323725183082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30.629968186942101</v>
      </c>
      <c r="G1663" s="1">
        <f>IF([1]Transport!C$23+[1]Transport_Aviation_Intl!C$11&lt;0,0,[1]Transport!C$23+[1]Transport_Aviation_Intl!C$11)</f>
        <v>59.878833890333205</v>
      </c>
      <c r="H1663" s="1">
        <f>IF([1]Transport!D$23+[1]Transport_Aviation_Intl!D$11&lt;0,0,[1]Transport!D$23+[1]Transport_Aviation_Intl!D$11)</f>
        <v>82.48616337191919</v>
      </c>
      <c r="I1663" s="1">
        <f>IF([1]Transport!E$23+[1]Transport_Aviation_Intl!E$11&lt;0,0,[1]Transport!E$23+[1]Transport_Aviation_Intl!E$11)</f>
        <v>80.917097380072363</v>
      </c>
      <c r="J1663" s="1">
        <f>IF([2]Transport!F$23+[2]Transport_Aviation_Intl!F$11&lt;0,0,[2]Transport!F$23+[2]Transport_Aviation_Intl!F$11)</f>
        <v>69.174688099227041</v>
      </c>
      <c r="K1663" s="1">
        <f>IF([2]Transport!G$23+[2]Transport_Aviation_Intl!G$11&lt;0,0,[2]Transport!G$23+[2]Transport_Aviation_Intl!G$11)</f>
        <v>54.19308947752387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3.18368798889021E-5</v>
      </c>
      <c r="G1664" s="1">
        <f t="shared" si="1751"/>
        <v>1.16612611637865E-3</v>
      </c>
      <c r="H1664" s="1">
        <f t="shared" si="1751"/>
        <v>2.0389632265815898E-2</v>
      </c>
      <c r="I1664" s="1">
        <f t="shared" si="1751"/>
        <v>5.1518037090176705</v>
      </c>
      <c r="J1664" s="1">
        <f t="shared" si="1751"/>
        <v>5.1518037090176705</v>
      </c>
      <c r="K1664" s="1">
        <f t="shared" si="1751"/>
        <v>16.66153921633121</v>
      </c>
      <c r="L1664" s="1">
        <f t="shared" ref="L1664" si="1752">L36</f>
        <v>26.830208121074246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11.50973550731354</v>
      </c>
      <c r="K1665" s="1">
        <f t="shared" si="1753"/>
        <v>10.168668904743036</v>
      </c>
      <c r="L1665" s="1">
        <f t="shared" ref="L1665" si="1754">L40</f>
        <v>49.689348146022368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0.2385028801229401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0.25112031580874961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0.26974761711140088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2.5094987379160001E-2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2.6556501260762151E-2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2.9125486040344664E-2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3.1625136207197736E-2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3.3097071399059083E-2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3.387805770741268E-2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3.6421167272335159E-2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8.9447672425363403E-2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0.17018554365903499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2.9555630628087002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2.9557262172139298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8.5440583695431496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13.969913197678499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3.1053014434859411E-6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5.3732075183282905E-6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1.2917470367072672E-6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1.3268315026617331E-6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1.9948887783370601E-4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0.16151150525182301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0.16151514953669399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0.63186703180042403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5.44345240705707E-2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5.4023509506064701E-2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8.9998283560626495E-3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1.5241722254850499E-2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1.6050126208400108E-3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1.1326052507447326E-3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4.7280238422628891E-5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2.0396350336963259E-5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1.6198658272739306E-6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1.2285182938204229E-6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17.1772175096601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16.7996446516999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13.1401965793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13.186531463832701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7.43047749840043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2.0187706726964998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2.5254382004144284E-2</v>
      </c>
      <c r="K1678" s="7">
        <f t="shared" si="1758"/>
        <v>2.523612230734127E-2</v>
      </c>
      <c r="L1678" s="7">
        <f t="shared" ref="L1678" si="1759">IFERROR(L1667/L1642,"-")</f>
        <v>2.5199602913735301E-2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1.6704032219401317E-2</v>
      </c>
      <c r="G1679" s="7">
        <f t="shared" si="1758"/>
        <v>1.6704032219401293E-2</v>
      </c>
      <c r="H1679" s="7">
        <f t="shared" si="1758"/>
        <v>1.6704032219401303E-2</v>
      </c>
      <c r="I1679" s="7">
        <f t="shared" si="1758"/>
        <v>1.6704032219401293E-2</v>
      </c>
      <c r="J1679" s="7">
        <f t="shared" si="1758"/>
        <v>1.6704032219401286E-2</v>
      </c>
      <c r="K1679" s="7">
        <f t="shared" si="1758"/>
        <v>1.67040322194013E-2</v>
      </c>
      <c r="L1679" s="7">
        <f t="shared" ref="L1679" si="1760">IFERROR(L1668/L1643,"-")</f>
        <v>1.6704032219401282E-2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2.4673913043478222</v>
      </c>
      <c r="H1680">
        <f t="shared" si="1758"/>
        <v>2.4673913043478208</v>
      </c>
      <c r="I1680">
        <f t="shared" si="1758"/>
        <v>2.4673913043478288</v>
      </c>
      <c r="J1680">
        <f t="shared" si="1758"/>
        <v>2.4670428322611873</v>
      </c>
      <c r="K1680">
        <f t="shared" si="1758"/>
        <v>2.4359537331087502</v>
      </c>
      <c r="L1680">
        <f t="shared" ref="L1680" si="1761">IFERROR(L1669/L1644,"-")</f>
        <v>2.448136814413489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1.7941883805152239E-2</v>
      </c>
      <c r="L1681">
        <f t="shared" ref="L1681" si="1763">IFERROR(L1670/L1646,"-")</f>
        <v>1.9320077379362408E-2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>
        <f t="shared" si="1762"/>
        <v>7.2968729943651695E-3</v>
      </c>
      <c r="L1682">
        <f t="shared" ref="L1682" si="1764">IFERROR(L1671/L1647,"-")</f>
        <v>5.9340998257273563E-3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1.7934782608695756</v>
      </c>
      <c r="K1683">
        <f t="shared" si="1762"/>
        <v>1.7934782608695587</v>
      </c>
      <c r="L1683">
        <f t="shared" ref="L1683" si="1765">IFERROR(L1672/L1648,"-")</f>
        <v>1.7934782608695734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0.90641226905247674</v>
      </c>
      <c r="H1684" s="4">
        <f t="shared" si="1766"/>
        <v>0.90641226905248229</v>
      </c>
      <c r="I1684" s="4">
        <f t="shared" si="1766"/>
        <v>0.90641226905247496</v>
      </c>
      <c r="J1684" s="4">
        <f t="shared" si="1766"/>
        <v>0.9064122690524774</v>
      </c>
      <c r="K1684" s="4">
        <f t="shared" si="1766"/>
        <v>0.90641226905248151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4.0530738867855095E-3</v>
      </c>
      <c r="G1686" s="1">
        <f t="shared" si="1768"/>
        <v>4.0530738867855121E-3</v>
      </c>
      <c r="H1686">
        <f t="shared" si="1768"/>
        <v>4.0530738867855095E-3</v>
      </c>
      <c r="I1686">
        <f t="shared" si="1768"/>
        <v>4.0530738867855104E-3</v>
      </c>
      <c r="J1686">
        <f t="shared" si="1768"/>
        <v>4.0530738867855104E-3</v>
      </c>
      <c r="K1686">
        <f t="shared" si="1768"/>
        <v>4.0530738867855095E-3</v>
      </c>
      <c r="L1686" t="str">
        <f t="shared" ref="L1686" si="1770">IFERROR(L1675/L1661,"-")</f>
        <v>-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0.98826978015124956</v>
      </c>
      <c r="H1687" s="4">
        <f t="shared" si="1768"/>
        <v>0.98826978015124978</v>
      </c>
      <c r="I1687" s="4">
        <f t="shared" si="1768"/>
        <v>0.98826978015125011</v>
      </c>
      <c r="J1687" s="4">
        <f t="shared" si="1768"/>
        <v>0.98826978015124889</v>
      </c>
      <c r="K1687" s="4">
        <f t="shared" si="1768"/>
        <v>0.98826978015124922</v>
      </c>
      <c r="L1687" s="4">
        <f t="shared" ref="L1687" si="1771">IFERROR(L1676/L1662,"-")</f>
        <v>0.98826978015124511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34.791239925424662</v>
      </c>
      <c r="G1688" s="3">
        <f t="shared" ref="G1688:K1688" si="1772">SUM(G1689:G1691,G1694:G1696,-G1701)</f>
        <v>32.425184415641013</v>
      </c>
      <c r="H1688" s="3">
        <f t="shared" si="1772"/>
        <v>30.148604276131366</v>
      </c>
      <c r="I1688" s="3">
        <f t="shared" si="1772"/>
        <v>20.853702526844884</v>
      </c>
      <c r="J1688" s="3">
        <f t="shared" si="1772"/>
        <v>14.846463562942178</v>
      </c>
      <c r="K1688" s="3">
        <f t="shared" si="1772"/>
        <v>8.4750881013561958</v>
      </c>
      <c r="L1688" s="3">
        <f t="shared" ref="L1688" si="1773">SUM(L1689:L1691,L1694:L1696,-L1701)</f>
        <v>1.5059432430766426E-6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2.6390782885561186</v>
      </c>
      <c r="G1689" s="1">
        <f>[1]Summary!C53+[1]Summary!C59</f>
        <v>2.3501419505059524</v>
      </c>
      <c r="H1689" s="1">
        <f>[1]Summary!D53+[1]Summary!D59</f>
        <v>2.3519227038231567</v>
      </c>
      <c r="I1689" s="1">
        <f>[1]Summary!E53+[1]Summary!E59</f>
        <v>2.3549342218346063</v>
      </c>
      <c r="J1689" s="1">
        <f>[2]Summary!F53+[2]Summary!F59</f>
        <v>2.2431230745208852</v>
      </c>
      <c r="K1689" s="1">
        <f>[2]Summary!G53+[2]Summary!G59</f>
        <v>1.0464337022290187</v>
      </c>
      <c r="L1689" s="1">
        <f>[2]Summary!H53+[2]Summary!H59</f>
        <v>-2.5790512101136152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-2.7397590750040806E-5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6.5106771036570681</v>
      </c>
      <c r="G1691" s="1">
        <f>[1]Summary!C55+[1]Summary!C60</f>
        <v>6.2606756884573871</v>
      </c>
      <c r="H1691" s="1">
        <f>[1]Summary!D55+[1]Summary!D60</f>
        <v>5.7153641632444092</v>
      </c>
      <c r="I1691" s="1">
        <f>[1]Summary!E55+[1]Summary!E60</f>
        <v>4.881655352714974</v>
      </c>
      <c r="J1691" s="1">
        <f>[2]Summary!F55+[2]Summary!F60</f>
        <v>4.1179860760233042</v>
      </c>
      <c r="K1691" s="1">
        <f>[2]Summary!G55+[2]Summary!G60</f>
        <v>3.2324886699173061</v>
      </c>
      <c r="L1691" s="1">
        <f>[2]Summary!H55+[2]Summary!H60</f>
        <v>1.54022417125661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4.4213303031724287</v>
      </c>
      <c r="G1692" s="1">
        <f t="shared" ref="G1692:K1692" si="1778">G1691-G1693</f>
        <v>4.1496625185833071</v>
      </c>
      <c r="H1692" s="1">
        <f t="shared" si="1778"/>
        <v>3.6130946921831493</v>
      </c>
      <c r="I1692" s="1">
        <f t="shared" si="1778"/>
        <v>2.7879959197518041</v>
      </c>
      <c r="J1692" s="1">
        <f t="shared" si="1778"/>
        <v>2.0324499249413446</v>
      </c>
      <c r="K1692" s="1">
        <f t="shared" si="1778"/>
        <v>1.1552198675591145</v>
      </c>
      <c r="L1692" s="1">
        <f t="shared" ref="L1692" si="1779">L1691-L1693</f>
        <v>0.40962141082371595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2.0936594329631699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2.0855361510819597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2.0772688023581916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1.1306027604328941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3.8057509330913097</v>
      </c>
      <c r="G1694" s="1">
        <f>[1]Summary!C56</f>
        <v>3.4442045735770996</v>
      </c>
      <c r="H1694" s="1">
        <f>[1]Summary!D56</f>
        <v>3.3593344913381098</v>
      </c>
      <c r="I1694" s="1">
        <f>[1]Summary!E56</f>
        <v>2.2581440813512401</v>
      </c>
      <c r="J1694" s="1">
        <f>[2]Summary!F56</f>
        <v>1.7196190179948361</v>
      </c>
      <c r="K1694" s="1">
        <f>[2]Summary!G56</f>
        <v>1.0244779210155399</v>
      </c>
      <c r="L1694" s="1">
        <f>[2]Summary!H56</f>
        <v>0.2557022555917331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7.2100943208689579</v>
      </c>
      <c r="G1695" s="1">
        <f>[1]Summary!C57</f>
        <v>6.4609055842147072</v>
      </c>
      <c r="H1695" s="1">
        <f>[1]Summary!D57</f>
        <v>6.3445985769164741</v>
      </c>
      <c r="I1695" s="1">
        <f>[1]Summary!E57</f>
        <v>3.981587075854168</v>
      </c>
      <c r="J1695" s="1">
        <f>[2]Summary!F57</f>
        <v>2.8909519730234501</v>
      </c>
      <c r="K1695" s="1">
        <f>[2]Summary!G57</f>
        <v>1.533430938146692</v>
      </c>
      <c r="L1695" s="1">
        <f>[2]Summary!H57</f>
        <v>0.62642964442116844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14.625639279251208</v>
      </c>
      <c r="G1696" s="1">
        <f>[1]Summary!C58</f>
        <v>13.909256618885863</v>
      </c>
      <c r="H1696" s="1">
        <f>[1]Summary!D58</f>
        <v>12.377384340809217</v>
      </c>
      <c r="I1696" s="1">
        <f>[1]Summary!E58</f>
        <v>7.3773817950898968</v>
      </c>
      <c r="J1696" s="1">
        <f>[2]Summary!F58</f>
        <v>3.8747834213797039</v>
      </c>
      <c r="K1696" s="1">
        <f>[2]Summary!G58</f>
        <v>1.6382664123963111</v>
      </c>
      <c r="L1696" s="1">
        <f>[2]Summary!H58</f>
        <v>0.15675303646859637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1.4155840941692979</v>
      </c>
      <c r="L1697" s="1">
        <f>-[2]Summary!H59</f>
        <v>5.1319882307055407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0.32422454417239549</v>
      </c>
      <c r="L1698" s="1">
        <f>-[2]Summary!H60</f>
        <v>1.6933338365354906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2.7397590750040806E-5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9.5423486713572634E-6</v>
      </c>
      <c r="L1701" s="1">
        <f>-[2]Summary!H63</f>
        <v>2.8994090499837347E-5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6.8253327513583244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3.4619530532116412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1.1218547444603242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2.2415249536863597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7.6680853891536246E-5</v>
      </c>
      <c r="L1707" s="1">
        <f t="shared" ref="L1707" si="1786">SUM(L1708:L1709)</f>
        <v>2.1118630081938921E-4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1.3232056824282072E-5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2.6384622354852024E-5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6.3448797067254179E-5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1.8480167846453719E-4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9.5423486713572634E-6</v>
      </c>
      <c r="L1710" s="1">
        <f t="shared" ref="L1710" si="1788">L1701</f>
        <v>2.8994090499837347E-5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966.15861054738957</v>
      </c>
      <c r="G1711" s="3">
        <f t="shared" ref="G1711:K1711" si="1789">SUM(G1712:G1713,G1730,G1739:G1740,G1741,G1742,G1747,G1750,,G1755:G1758,G1751)</f>
        <v>964.3480976237156</v>
      </c>
      <c r="H1711" s="3">
        <f t="shared" si="1789"/>
        <v>916.44483351942245</v>
      </c>
      <c r="I1711" s="3">
        <f t="shared" si="1789"/>
        <v>892.21411499393776</v>
      </c>
      <c r="J1711" s="3">
        <f t="shared" si="1789"/>
        <v>777.05172222007582</v>
      </c>
      <c r="K1711" s="3">
        <f t="shared" si="1789"/>
        <v>714.9569481425591</v>
      </c>
      <c r="L1711" s="3">
        <f t="shared" ref="L1711" si="1790">SUM(L1712:L1713,L1730,L1739:L1740,L1741,L1742,L1747,L1750,,L1755:L1758,L1751)</f>
        <v>671.96819110561819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3.6601882141811259</v>
      </c>
      <c r="G1712" s="1">
        <f t="shared" si="1792"/>
        <v>3.5647660482432162</v>
      </c>
      <c r="H1712" s="1">
        <f t="shared" si="1792"/>
        <v>0.15596099168927152</v>
      </c>
      <c r="I1712" s="1">
        <f t="shared" si="1792"/>
        <v>4.6208376640515239E-3</v>
      </c>
      <c r="J1712" s="1">
        <f t="shared" si="1792"/>
        <v>6.1393082000861937E-3</v>
      </c>
      <c r="K1712" s="1">
        <f t="shared" si="1792"/>
        <v>6.3677787950264936E-4</v>
      </c>
      <c r="L1712" s="1">
        <f t="shared" ref="L1712" si="1793">L21</f>
        <v>5.0459877695822069E-6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311.19204139929144</v>
      </c>
      <c r="G1713" s="1">
        <f t="shared" si="1792"/>
        <v>286.59565245584537</v>
      </c>
      <c r="H1713" s="1">
        <f t="shared" si="1792"/>
        <v>260.17311711540322</v>
      </c>
      <c r="I1713" s="1">
        <f t="shared" si="1792"/>
        <v>158.41676724599998</v>
      </c>
      <c r="J1713" s="1">
        <f t="shared" si="1792"/>
        <v>108.66556211829422</v>
      </c>
      <c r="K1713" s="1">
        <f t="shared" si="1792"/>
        <v>70.811767665744753</v>
      </c>
      <c r="L1713" s="1">
        <f t="shared" ref="L1713" si="1797">L22</f>
        <v>80.6950440748722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305.33109084662027</v>
      </c>
      <c r="G1714" s="1">
        <f t="shared" si="1792"/>
        <v>280.7364963933216</v>
      </c>
      <c r="H1714" s="1">
        <f t="shared" si="1792"/>
        <v>254.31385051000939</v>
      </c>
      <c r="I1714" s="1">
        <f t="shared" si="1792"/>
        <v>148.06345464879749</v>
      </c>
      <c r="J1714" s="1">
        <f t="shared" si="1792"/>
        <v>87.417037373958678</v>
      </c>
      <c r="K1714" s="1">
        <f t="shared" si="1792"/>
        <v>38.122933290569073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102.14686482660032</v>
      </c>
      <c r="G1715" s="1">
        <f t="shared" si="1792"/>
        <v>88.232629849963274</v>
      </c>
      <c r="H1715" s="1">
        <f t="shared" si="1792"/>
        <v>86.025824283526873</v>
      </c>
      <c r="I1715" s="1">
        <f t="shared" si="1792"/>
        <v>47.723315078576853</v>
      </c>
      <c r="J1715" s="1">
        <f t="shared" si="1792"/>
        <v>34.693068514381139</v>
      </c>
      <c r="K1715" s="1">
        <f t="shared" si="1792"/>
        <v>16.729773330544852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2.7765248325854821</v>
      </c>
      <c r="G1716" s="1">
        <f t="shared" si="1792"/>
        <v>2.7643673663297474</v>
      </c>
      <c r="H1716" s="1">
        <f t="shared" si="1792"/>
        <v>4.8276246552936893E-2</v>
      </c>
      <c r="I1716" s="1">
        <f t="shared" si="1792"/>
        <v>4.6215869532633732E-3</v>
      </c>
      <c r="J1716" s="1">
        <f t="shared" si="1792"/>
        <v>9.4990656566637174E-3</v>
      </c>
      <c r="K1716" s="1">
        <f t="shared" si="1792"/>
        <v>6.3857631950093999E-4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121.89424816293706</v>
      </c>
      <c r="G1717" s="1">
        <f t="shared" si="1792"/>
        <v>112.68574983712354</v>
      </c>
      <c r="H1717" s="1">
        <f t="shared" si="1792"/>
        <v>95.48232651826433</v>
      </c>
      <c r="I1717" s="1">
        <f t="shared" si="1792"/>
        <v>56.806864888603791</v>
      </c>
      <c r="J1717" s="1">
        <f t="shared" si="1792"/>
        <v>33.347457535208655</v>
      </c>
      <c r="K1717" s="1">
        <f t="shared" si="1792"/>
        <v>16.520789267810589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77.404073620847043</v>
      </c>
      <c r="G1718" s="1">
        <f t="shared" si="1792"/>
        <v>75.649647193300396</v>
      </c>
      <c r="H1718" s="1">
        <f t="shared" si="1792"/>
        <v>70.929145538586567</v>
      </c>
      <c r="I1718" s="1">
        <f t="shared" si="1792"/>
        <v>41.082883194158065</v>
      </c>
      <c r="J1718" s="1">
        <f t="shared" si="1792"/>
        <v>16.782935118647938</v>
      </c>
      <c r="K1718" s="1">
        <f t="shared" si="1792"/>
        <v>2.7234077441626163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1.1093794036503803</v>
      </c>
      <c r="G1719" s="1">
        <f t="shared" si="1792"/>
        <v>1.4041021466046504</v>
      </c>
      <c r="H1719" s="1">
        <f t="shared" si="1792"/>
        <v>1.8282779230786981</v>
      </c>
      <c r="I1719" s="1">
        <f t="shared" si="1792"/>
        <v>2.4457699005055282</v>
      </c>
      <c r="J1719" s="1">
        <f t="shared" si="1792"/>
        <v>2.5840771400642821</v>
      </c>
      <c r="K1719" s="1">
        <f t="shared" si="1792"/>
        <v>2.1483243717315141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5.8609505526711647</v>
      </c>
      <c r="G1720" s="1">
        <f t="shared" si="1792"/>
        <v>5.859156062523784</v>
      </c>
      <c r="H1720" s="1">
        <f t="shared" si="1792"/>
        <v>5.8592666053938247</v>
      </c>
      <c r="I1720" s="1">
        <f t="shared" si="1792"/>
        <v>10.353312597202482</v>
      </c>
      <c r="J1720" s="1">
        <f t="shared" si="1792"/>
        <v>21.248524744335544</v>
      </c>
      <c r="K1720" s="1">
        <f t="shared" si="1792"/>
        <v>32.688834375175674</v>
      </c>
      <c r="L1720" s="1">
        <f t="shared" ref="L1720" si="1804">L29</f>
        <v>80.6950440748722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2.8760568952153025</v>
      </c>
      <c r="G1721" s="1">
        <f t="shared" si="1792"/>
        <v>1.8135911085892917</v>
      </c>
      <c r="H1721" s="1">
        <f t="shared" si="1792"/>
        <v>3.2681377156991562</v>
      </c>
      <c r="I1721" s="1">
        <f t="shared" si="1792"/>
        <v>3.2465039351268459</v>
      </c>
      <c r="J1721" s="1">
        <f t="shared" si="1792"/>
        <v>3.2602006698772321</v>
      </c>
      <c r="K1721" s="1">
        <f t="shared" si="1792"/>
        <v>3.1971350810523518</v>
      </c>
      <c r="L1721" s="1">
        <f t="shared" ref="L1721" si="1805">L30</f>
        <v>4.0672737041930418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2.9848618205759734</v>
      </c>
      <c r="G1722" s="1">
        <f t="shared" si="1792"/>
        <v>4.0443988278181138</v>
      </c>
      <c r="H1722" s="1">
        <f t="shared" si="1792"/>
        <v>2.570739257428853</v>
      </c>
      <c r="I1722" s="1">
        <f t="shared" si="1792"/>
        <v>1.9550049530579647</v>
      </c>
      <c r="J1722" s="1">
        <f t="shared" si="1792"/>
        <v>1.3267848581271025</v>
      </c>
      <c r="K1722" s="1">
        <f t="shared" si="1792"/>
        <v>2.6614911730490776</v>
      </c>
      <c r="L1722" s="1">
        <f t="shared" ref="L1722" si="1806">L31</f>
        <v>0.10821410358253884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5.8609505526711647</v>
      </c>
      <c r="G1723" s="1">
        <f t="shared" si="1807"/>
        <v>5.859156062523784</v>
      </c>
      <c r="H1723" s="1">
        <f t="shared" si="1807"/>
        <v>5.8592666053938247</v>
      </c>
      <c r="I1723" s="1">
        <f t="shared" si="1807"/>
        <v>10.353312597202482</v>
      </c>
      <c r="J1723" s="1">
        <f t="shared" si="1807"/>
        <v>9.7387892370220044</v>
      </c>
      <c r="K1723" s="1">
        <f t="shared" si="1807"/>
        <v>22.520165470432637</v>
      </c>
      <c r="L1723" s="1">
        <f t="shared" ref="L1723" si="1808">L33</f>
        <v>30.206559940355941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2.8760568952153025</v>
      </c>
      <c r="G1724" s="1">
        <f t="shared" si="1807"/>
        <v>1.8135911085892917</v>
      </c>
      <c r="H1724" s="1">
        <f t="shared" si="1807"/>
        <v>3.2681377156991562</v>
      </c>
      <c r="I1724" s="1">
        <f t="shared" si="1807"/>
        <v>3.2465039351268459</v>
      </c>
      <c r="J1724" s="1">
        <f t="shared" si="1807"/>
        <v>3.2602006698772321</v>
      </c>
      <c r="K1724" s="1">
        <f t="shared" si="1807"/>
        <v>3.1971350810523518</v>
      </c>
      <c r="L1724" s="1">
        <f t="shared" ref="L1724" si="1809">L34</f>
        <v>3.2681377156991562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2.9848618205759734</v>
      </c>
      <c r="G1725" s="1">
        <f t="shared" si="1807"/>
        <v>4.0443988278181138</v>
      </c>
      <c r="H1725" s="1">
        <f t="shared" si="1807"/>
        <v>2.570739257428853</v>
      </c>
      <c r="I1725" s="1">
        <f t="shared" si="1807"/>
        <v>1.9550049530579647</v>
      </c>
      <c r="J1725" s="1">
        <f t="shared" si="1807"/>
        <v>1.3267848581271025</v>
      </c>
      <c r="K1725" s="1">
        <f t="shared" si="1807"/>
        <v>2.6614911730490776</v>
      </c>
      <c r="L1725" s="1">
        <f t="shared" ref="L1725" si="1810">L35</f>
        <v>0.10821410358253884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11.50973550731354</v>
      </c>
      <c r="K1726" s="1">
        <f t="shared" si="1811"/>
        <v>10.168668904743036</v>
      </c>
      <c r="L1726" s="1">
        <f t="shared" ref="L1726" si="1812">L37</f>
        <v>50.488484134516256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0.79913598849388556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11.50973550731354</v>
      </c>
      <c r="K1729" s="1">
        <f t="shared" si="1811"/>
        <v>10.168668904743036</v>
      </c>
      <c r="L1729" s="1">
        <f t="shared" ref="L1729" si="1815">L40</f>
        <v>49.689348146022368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118.81618615236589</v>
      </c>
      <c r="G1730" s="1">
        <f t="shared" si="1811"/>
        <v>106.72179597074525</v>
      </c>
      <c r="H1730" s="1">
        <f t="shared" si="1811"/>
        <v>106.23083898984014</v>
      </c>
      <c r="I1730" s="1">
        <f t="shared" si="1811"/>
        <v>79.110953288860841</v>
      </c>
      <c r="J1730" s="1">
        <f t="shared" si="1811"/>
        <v>56.06643954548106</v>
      </c>
      <c r="K1730" s="1">
        <f t="shared" si="1811"/>
        <v>15.870544352770255</v>
      </c>
      <c r="L1730" s="1">
        <f t="shared" ref="L1730" si="1816">L41</f>
        <v>9.5006784509315591E-4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118.81618615236589</v>
      </c>
      <c r="G1731" s="1">
        <f t="shared" si="1811"/>
        <v>106.72001471923431</v>
      </c>
      <c r="H1731" s="1">
        <f t="shared" si="1811"/>
        <v>106.22916669823748</v>
      </c>
      <c r="I1731" s="1">
        <f t="shared" si="1811"/>
        <v>78.583730394163766</v>
      </c>
      <c r="J1731" s="1">
        <f t="shared" si="1811"/>
        <v>54.788120470863028</v>
      </c>
      <c r="K1731" s="1">
        <f t="shared" si="1811"/>
        <v>15.864116056579048</v>
      </c>
      <c r="L1731" s="1">
        <f t="shared" ref="L1731" si="1817">L42</f>
        <v>1.6347674676863942E-5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118.81618615236589</v>
      </c>
      <c r="G1732" s="1">
        <f t="shared" si="1811"/>
        <v>106.72001471923431</v>
      </c>
      <c r="H1732" s="1">
        <f t="shared" si="1811"/>
        <v>106.22916669823748</v>
      </c>
      <c r="I1732" s="1">
        <f t="shared" si="1811"/>
        <v>78.53998988218585</v>
      </c>
      <c r="J1732" s="1">
        <f t="shared" si="1811"/>
        <v>54.781631985200029</v>
      </c>
      <c r="K1732" s="1">
        <f t="shared" si="1811"/>
        <v>15.859415676860577</v>
      </c>
      <c r="L1732" s="1">
        <f t="shared" ref="L1732" si="1818">L43</f>
        <v>4.3766899970154617E-6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4.3740511977914093E-2</v>
      </c>
      <c r="J1733" s="1">
        <f t="shared" si="1811"/>
        <v>6.4884856629986261E-3</v>
      </c>
      <c r="K1733" s="1">
        <f t="shared" si="1811"/>
        <v>4.700379718471411E-3</v>
      </c>
      <c r="L1733" s="1">
        <f t="shared" ref="L1733" si="1819">L44</f>
        <v>1.1970984679848482E-5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1.7812515109373096E-3</v>
      </c>
      <c r="H1734" s="1">
        <f t="shared" si="1811"/>
        <v>1.6722916026538155E-3</v>
      </c>
      <c r="I1734" s="1">
        <f t="shared" si="1811"/>
        <v>0.5272228946970724</v>
      </c>
      <c r="J1734" s="1">
        <f t="shared" si="1811"/>
        <v>1.2783190746180322</v>
      </c>
      <c r="K1734" s="1">
        <f t="shared" si="1811"/>
        <v>6.4282961912065367E-3</v>
      </c>
      <c r="L1734" s="1">
        <f t="shared" ref="L1734" si="1820">L45</f>
        <v>9.3372017041629194E-4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1.7812515109373096E-3</v>
      </c>
      <c r="H1735" s="1">
        <f t="shared" si="1811"/>
        <v>1.6722916026538155E-3</v>
      </c>
      <c r="I1735" s="1">
        <f t="shared" si="1811"/>
        <v>0.5272228946970724</v>
      </c>
      <c r="J1735" s="1">
        <f t="shared" si="1811"/>
        <v>0.5272228946970724</v>
      </c>
      <c r="K1735" s="1">
        <f t="shared" si="1811"/>
        <v>6.4282961912065367E-3</v>
      </c>
      <c r="L1735" s="1">
        <f t="shared" ref="L1735" si="1821">L46</f>
        <v>9.3372017041629194E-4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1.7812515109373096E-3</v>
      </c>
      <c r="H1736" s="1">
        <f t="shared" si="1811"/>
        <v>1.6722916026538155E-3</v>
      </c>
      <c r="I1736" s="1">
        <f t="shared" si="1811"/>
        <v>0.5272228946970724</v>
      </c>
      <c r="J1736" s="1">
        <f t="shared" si="1811"/>
        <v>0.5272228946970724</v>
      </c>
      <c r="K1736" s="1">
        <f t="shared" si="1811"/>
        <v>6.4282961912065367E-3</v>
      </c>
      <c r="L1736" s="1">
        <f t="shared" ref="L1736" si="1822">L47</f>
        <v>9.3372017041629194E-4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0.75109617992095978</v>
      </c>
      <c r="K1737" s="1">
        <f t="shared" si="1811"/>
        <v>0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0.75109617992095978</v>
      </c>
      <c r="K1738" s="1">
        <f t="shared" si="1811"/>
        <v>0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250.9487170795704</v>
      </c>
      <c r="G1739" s="1">
        <f t="shared" si="1811"/>
        <v>253.29674232384011</v>
      </c>
      <c r="H1739" s="1">
        <f t="shared" si="1811"/>
        <v>233.18388719099895</v>
      </c>
      <c r="I1739" s="1">
        <f t="shared" si="1811"/>
        <v>211.82169140682569</v>
      </c>
      <c r="J1739" s="1">
        <f t="shared" si="1811"/>
        <v>167.60293030252669</v>
      </c>
      <c r="K1739" s="1">
        <f t="shared" si="1811"/>
        <v>98.945514148005145</v>
      </c>
      <c r="L1739" s="1">
        <f t="shared" ref="L1739" si="1825">L50</f>
        <v>0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-20.010090782514297</v>
      </c>
      <c r="G1740" s="1">
        <f t="shared" si="1826"/>
        <v>15.400165557285618</v>
      </c>
      <c r="H1740" s="1">
        <f t="shared" si="1826"/>
        <v>-21.503695917221677</v>
      </c>
      <c r="I1740" s="1">
        <f t="shared" si="1826"/>
        <v>-1.9997777203666089</v>
      </c>
      <c r="J1740" s="1">
        <f t="shared" si="1826"/>
        <v>19.279633415900221</v>
      </c>
      <c r="K1740" s="1">
        <f t="shared" si="1826"/>
        <v>-1.9999962084583096</v>
      </c>
      <c r="L1740" s="1">
        <f t="shared" ref="L1740" si="1827">-L58+L51</f>
        <v>-2.0000011241393771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8.9006088432262247E-6</v>
      </c>
      <c r="L1741" s="1">
        <f t="shared" ref="L1741" si="1829">L56</f>
        <v>8.2548698153213751E-6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46.334115216000257</v>
      </c>
      <c r="G1742" s="1">
        <f t="shared" si="1830"/>
        <v>50.490587884073356</v>
      </c>
      <c r="H1742" s="1">
        <f t="shared" si="1830"/>
        <v>53.544916746486351</v>
      </c>
      <c r="I1742" s="1">
        <f t="shared" si="1830"/>
        <v>53.546451685739477</v>
      </c>
      <c r="J1742" s="1">
        <f t="shared" si="1830"/>
        <v>53.516689355018073</v>
      </c>
      <c r="K1742" s="1">
        <f t="shared" si="1830"/>
        <v>53.839142686480777</v>
      </c>
      <c r="L1742" s="1">
        <f t="shared" ref="L1742" si="1831">L3</f>
        <v>53.840064822309309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11.111976141568594</v>
      </c>
      <c r="G1743" s="1">
        <f t="shared" si="1830"/>
        <v>11.952923578006255</v>
      </c>
      <c r="H1743" s="1">
        <f t="shared" si="1830"/>
        <v>13.357213022457403</v>
      </c>
      <c r="I1743" s="1">
        <f t="shared" si="1830"/>
        <v>15.656186912610261</v>
      </c>
      <c r="J1743" s="1">
        <f t="shared" si="1830"/>
        <v>16.424569312147934</v>
      </c>
      <c r="K1743" s="1">
        <f t="shared" si="1830"/>
        <v>17.11364306333876</v>
      </c>
      <c r="L1743" s="1">
        <f t="shared" ref="L1743" si="1832">L4</f>
        <v>18.429672491123057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7.5117708343997647</v>
      </c>
      <c r="G1744" s="1">
        <f t="shared" si="1830"/>
        <v>7.5431833211157198</v>
      </c>
      <c r="H1744" s="1">
        <f t="shared" si="1830"/>
        <v>7.5903684650464012</v>
      </c>
      <c r="I1744" s="1">
        <f t="shared" si="1830"/>
        <v>7.6690331077722877</v>
      </c>
      <c r="J1744" s="1">
        <f t="shared" si="1830"/>
        <v>7.6690263743061333</v>
      </c>
      <c r="K1744" s="1">
        <f t="shared" si="1830"/>
        <v>7.6690274747497238</v>
      </c>
      <c r="L1744" s="1">
        <f t="shared" ref="L1744" si="1833">L5</f>
        <v>7.6690281199681918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3.1683463948340496</v>
      </c>
      <c r="G1745" s="1">
        <f t="shared" si="1830"/>
        <v>3.4957144759587795</v>
      </c>
      <c r="H1745" s="1">
        <f t="shared" si="1830"/>
        <v>3.9868298124432071</v>
      </c>
      <c r="I1745" s="1">
        <f t="shared" si="1830"/>
        <v>4.805389453080994</v>
      </c>
      <c r="J1745" s="1">
        <f t="shared" si="1830"/>
        <v>4.8053850877620814</v>
      </c>
      <c r="K1745" s="1">
        <f t="shared" si="1830"/>
        <v>4.8053864532754424</v>
      </c>
      <c r="L1745" s="1">
        <f t="shared" ref="L1745" si="1834">L6</f>
        <v>4.8053852262652237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24.542021845197844</v>
      </c>
      <c r="G1746" s="1">
        <f t="shared" si="1830"/>
        <v>27.498766508992603</v>
      </c>
      <c r="H1746" s="1">
        <f t="shared" si="1830"/>
        <v>28.610505446539335</v>
      </c>
      <c r="I1746" s="1">
        <f t="shared" si="1830"/>
        <v>25.415842212275933</v>
      </c>
      <c r="J1746" s="1">
        <f t="shared" si="1830"/>
        <v>24.617708580801924</v>
      </c>
      <c r="K1746" s="1">
        <f t="shared" si="1830"/>
        <v>24.251085695116853</v>
      </c>
      <c r="L1746" s="1">
        <f t="shared" ref="L1746" si="1835">L7</f>
        <v>22.935978984952836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70.032086744262159</v>
      </c>
      <c r="G1747" s="1">
        <f t="shared" si="1830"/>
        <v>71.224290096672604</v>
      </c>
      <c r="H1747" s="1">
        <f t="shared" si="1830"/>
        <v>71.066649647055769</v>
      </c>
      <c r="I1747" s="1">
        <f t="shared" si="1830"/>
        <v>74.271072997039468</v>
      </c>
      <c r="J1747" s="1">
        <f t="shared" si="1830"/>
        <v>72.271096246946954</v>
      </c>
      <c r="K1747" s="1">
        <f t="shared" si="1830"/>
        <v>79.195697019164044</v>
      </c>
      <c r="L1747" s="1">
        <f t="shared" ref="L1747" si="1836">L8</f>
        <v>83.827841984457024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35.931415647284581</v>
      </c>
      <c r="G1748" s="1">
        <f t="shared" si="1830"/>
        <v>36.121600754240653</v>
      </c>
      <c r="H1748" s="1">
        <f t="shared" si="1830"/>
        <v>35.963639011507908</v>
      </c>
      <c r="I1748" s="1">
        <f t="shared" si="1830"/>
        <v>37.032765660388442</v>
      </c>
      <c r="J1748" s="1">
        <f t="shared" si="1830"/>
        <v>34.937590039075637</v>
      </c>
      <c r="K1748" s="1">
        <f t="shared" si="1830"/>
        <v>38.08248898081991</v>
      </c>
      <c r="L1748" s="1">
        <f t="shared" ref="L1748" si="1837">L9</f>
        <v>39.221495089781584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34.100671096977578</v>
      </c>
      <c r="G1749" s="1">
        <f t="shared" si="1830"/>
        <v>35.102689342431958</v>
      </c>
      <c r="H1749" s="1">
        <f t="shared" si="1830"/>
        <v>35.103010635547861</v>
      </c>
      <c r="I1749" s="1">
        <f t="shared" si="1830"/>
        <v>37.238307336651026</v>
      </c>
      <c r="J1749" s="1">
        <f t="shared" si="1830"/>
        <v>37.333506207871316</v>
      </c>
      <c r="K1749" s="1">
        <f t="shared" si="1830"/>
        <v>41.113208038344141</v>
      </c>
      <c r="L1749" s="1">
        <f t="shared" ref="L1749" si="1838">L10</f>
        <v>44.60634689467544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3.7982918878914633</v>
      </c>
      <c r="G1750" s="1">
        <f t="shared" si="1830"/>
        <v>12.540359083790694</v>
      </c>
      <c r="H1750" s="1">
        <f t="shared" si="1830"/>
        <v>12.540421416964007</v>
      </c>
      <c r="I1750" s="1">
        <f t="shared" si="1830"/>
        <v>12.540431121177249</v>
      </c>
      <c r="J1750" s="1">
        <f t="shared" si="1830"/>
        <v>12.540435319465571</v>
      </c>
      <c r="K1750" s="1">
        <f t="shared" si="1830"/>
        <v>17.360280900367709</v>
      </c>
      <c r="L1750" s="1">
        <f t="shared" ref="L1750" si="1839">L11</f>
        <v>17.744661964437764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149.43060968985017</v>
      </c>
      <c r="G1751" s="1">
        <f t="shared" si="1830"/>
        <v>125.65124522840297</v>
      </c>
      <c r="H1751" s="1">
        <f t="shared" si="1830"/>
        <v>137.72924305395776</v>
      </c>
      <c r="I1751" s="1">
        <f t="shared" si="1830"/>
        <v>191.68914738393363</v>
      </c>
      <c r="J1751" s="1">
        <f t="shared" si="1830"/>
        <v>152.56444289108566</v>
      </c>
      <c r="K1751" s="1">
        <f t="shared" si="1830"/>
        <v>155.20995502418145</v>
      </c>
      <c r="L1751" s="1">
        <f t="shared" ref="L1751" si="1840">L12</f>
        <v>159.32923318240208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66.745681606063101</v>
      </c>
      <c r="G1752" s="1">
        <f t="shared" si="1841"/>
        <v>49.798777987808691</v>
      </c>
      <c r="H1752" s="1">
        <f t="shared" si="1841"/>
        <v>68.970400584037336</v>
      </c>
      <c r="I1752" s="1">
        <f t="shared" si="1841"/>
        <v>70.970232393460137</v>
      </c>
      <c r="J1752" s="1">
        <f t="shared" si="1841"/>
        <v>72.61624215309584</v>
      </c>
      <c r="K1752" s="1">
        <f t="shared" si="1841"/>
        <v>73.931684780467094</v>
      </c>
      <c r="L1752" s="1">
        <f t="shared" ref="L1752" si="1842">L13</f>
        <v>74.836059984174653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66.632430866657671</v>
      </c>
      <c r="G1753" s="1">
        <f t="shared" si="1841"/>
        <v>55.764055694378619</v>
      </c>
      <c r="H1753" s="1">
        <f t="shared" si="1841"/>
        <v>65.677217745587797</v>
      </c>
      <c r="I1753" s="1">
        <f t="shared" si="1841"/>
        <v>64.853740316850036</v>
      </c>
      <c r="J1753" s="1">
        <f t="shared" si="1841"/>
        <v>63.870159829891385</v>
      </c>
      <c r="K1753" s="1">
        <f t="shared" si="1841"/>
        <v>64.382938209233785</v>
      </c>
      <c r="L1753" s="1">
        <f t="shared" ref="L1753" si="1843">L14</f>
        <v>67.134977010270831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16.052497217129396</v>
      </c>
      <c r="G1754" s="1">
        <f t="shared" si="1841"/>
        <v>20.088411546215649</v>
      </c>
      <c r="H1754" s="1">
        <f t="shared" si="1841"/>
        <v>3.0816247243326447</v>
      </c>
      <c r="I1754" s="1">
        <f t="shared" si="1841"/>
        <v>55.865174673623464</v>
      </c>
      <c r="J1754" s="1">
        <f t="shared" si="1841"/>
        <v>16.078040908098451</v>
      </c>
      <c r="K1754" s="1">
        <f t="shared" si="1841"/>
        <v>16.895332034480578</v>
      </c>
      <c r="L1754" s="1">
        <f t="shared" ref="L1754" si="1844">L15</f>
        <v>17.358196187956597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12.557136404926036</v>
      </c>
      <c r="G1755" s="1">
        <f t="shared" si="1841"/>
        <v>16.525178250020552</v>
      </c>
      <c r="H1755" s="1">
        <f t="shared" si="1841"/>
        <v>30.421478522021395</v>
      </c>
      <c r="I1755" s="1">
        <f t="shared" si="1841"/>
        <v>56.344572823422311</v>
      </c>
      <c r="J1755" s="1">
        <f t="shared" si="1841"/>
        <v>62.131190716185813</v>
      </c>
      <c r="K1755" s="1">
        <f t="shared" si="1841"/>
        <v>133.16152818492282</v>
      </c>
      <c r="L1755" s="1">
        <f t="shared" ref="L1755" si="1845">L16</f>
        <v>151.38101177451421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0.52448853879067292</v>
      </c>
      <c r="G1756" s="1">
        <f t="shared" si="1841"/>
        <v>0.54536871651479635</v>
      </c>
      <c r="H1756" s="1">
        <f t="shared" si="1841"/>
        <v>0.50324133458982423</v>
      </c>
      <c r="I1756" s="1">
        <f t="shared" si="1841"/>
        <v>2.0507563360817489</v>
      </c>
      <c r="J1756" s="1">
        <f t="shared" si="1841"/>
        <v>3.6359647709250433</v>
      </c>
      <c r="K1756" s="1">
        <f t="shared" si="1841"/>
        <v>7.1993892827458792</v>
      </c>
      <c r="L1756" s="1">
        <f t="shared" ref="L1756" si="1846">L17</f>
        <v>21.925723158889589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18.874840002774317</v>
      </c>
      <c r="G1757" s="1">
        <f t="shared" si="1841"/>
        <v>21.791946008281279</v>
      </c>
      <c r="H1757" s="1">
        <f t="shared" si="1841"/>
        <v>32.398774427637392</v>
      </c>
      <c r="I1757" s="1">
        <f t="shared" si="1841"/>
        <v>54.41742758755997</v>
      </c>
      <c r="J1757" s="1">
        <f t="shared" si="1841"/>
        <v>68.771198230046309</v>
      </c>
      <c r="K1757" s="1">
        <f t="shared" si="1841"/>
        <v>85.040109039211217</v>
      </c>
      <c r="L1757" s="1">
        <f t="shared" ref="L1757" si="1847">L18</f>
        <v>96.212205213808517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0.32237036893503263</v>
      </c>
      <c r="L1758" s="1">
        <f t="shared" ref="L1758" si="1848">L19</f>
        <v>9.0114426853643295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22.548961512890049</v>
      </c>
      <c r="G1759" s="3">
        <f t="shared" si="1849"/>
        <v>24.552804935690613</v>
      </c>
      <c r="H1759" s="3">
        <f t="shared" si="1849"/>
        <v>29.951038680327613</v>
      </c>
      <c r="I1759" s="3">
        <f t="shared" si="1849"/>
        <v>36.167968050560745</v>
      </c>
      <c r="J1759" s="3">
        <f t="shared" si="1849"/>
        <v>37.963066988914399</v>
      </c>
      <c r="K1759" s="3">
        <f t="shared" si="1849"/>
        <v>60.146205070975128</v>
      </c>
      <c r="L1759" s="3">
        <f t="shared" ref="L1759" si="1850">SUM(L1760,L1762,L1766,L1770,L1786,L1793,L1801,L1803,L1811,L1815,L1809)</f>
        <v>67.13233383195012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3.0805574440748962</v>
      </c>
      <c r="G1760" s="1">
        <f t="shared" ref="G1760:L1760" si="1851">+G1761</f>
        <v>3.0805512918717244</v>
      </c>
      <c r="H1760" s="1">
        <f t="shared" si="1851"/>
        <v>2.8402357421350652</v>
      </c>
      <c r="I1760" s="1">
        <f t="shared" si="1851"/>
        <v>2.6090378441108784</v>
      </c>
      <c r="J1760" s="1">
        <f t="shared" si="1851"/>
        <v>2.0753297974976745</v>
      </c>
      <c r="K1760" s="1">
        <f t="shared" si="1851"/>
        <v>1.2356853495232283</v>
      </c>
      <c r="L1760" s="1">
        <f t="shared" si="1851"/>
        <v>0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3.0805574440748962</v>
      </c>
      <c r="G1761" s="1">
        <f>'[1]Electricity and CHPs_CAP'!C$14</f>
        <v>3.0805512918717244</v>
      </c>
      <c r="H1761" s="1">
        <f>'[1]Electricity and CHPs_CAP'!D$14</f>
        <v>2.8402357421350652</v>
      </c>
      <c r="I1761" s="1">
        <f>'[1]Electricity and CHPs_CAP'!E$14</f>
        <v>2.6090378441108784</v>
      </c>
      <c r="J1761" s="1">
        <f>'[2]Electricity and CHPs_CAP'!F$14</f>
        <v>2.0753297974976745</v>
      </c>
      <c r="K1761" s="1">
        <f>'[2]Electricity and CHPs_CAP'!G$14</f>
        <v>1.2356853495232283</v>
      </c>
      <c r="L1761" s="1">
        <f>'[2]Electricity and CHPs_CAP'!H$14</f>
        <v>0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16.199600522620472</v>
      </c>
      <c r="H1762" s="1">
        <f t="shared" si="1853"/>
        <v>16.668988426576931</v>
      </c>
      <c r="I1762" s="1">
        <f t="shared" si="1853"/>
        <v>16.691456701891749</v>
      </c>
      <c r="J1762" s="1">
        <f t="shared" si="1853"/>
        <v>16.728371248944335</v>
      </c>
      <c r="K1762" s="1">
        <f t="shared" si="1853"/>
        <v>16.999296111036589</v>
      </c>
      <c r="L1762" s="1">
        <f t="shared" ref="L1762" si="1854">SUM(L1763:L1765)</f>
        <v>17.454369624072189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7.4068633440738028</v>
      </c>
      <c r="H1763" s="1">
        <f>'[1]Electricity and CHPs_CAP'!D$15</f>
        <v>7.423698135618003</v>
      </c>
      <c r="I1763" s="1">
        <f>'[1]Electricity and CHPs_CAP'!E$15</f>
        <v>7.4237970576586196</v>
      </c>
      <c r="J1763" s="1">
        <f>'[2]Electricity and CHPs_CAP'!F$15</f>
        <v>7.4658701120655611</v>
      </c>
      <c r="K1763" s="1">
        <f>'[2]Electricity and CHPs_CAP'!G$15</f>
        <v>7.6233275892852017</v>
      </c>
      <c r="L1763" s="1">
        <f>'[2]Electricity and CHPs_CAP'!H$15</f>
        <v>7.7285660205218365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4.8168369740620012</v>
      </c>
      <c r="H1764" s="1">
        <f>'[1]Electricity and CHPs_CAP'!D$16</f>
        <v>4.8809690325953117</v>
      </c>
      <c r="I1764" s="1">
        <f>'[1]Electricity and CHPs_CAP'!E$16</f>
        <v>4.9033383858695121</v>
      </c>
      <c r="J1764" s="1">
        <f>'[2]Electricity and CHPs_CAP'!F$16</f>
        <v>4.9025043515525644</v>
      </c>
      <c r="K1764" s="1">
        <f>'[2]Electricity and CHPs_CAP'!G$16</f>
        <v>5.0159714703635201</v>
      </c>
      <c r="L1764" s="1">
        <f>'[2]Electricity and CHPs_CAP'!H$16</f>
        <v>5.3658057879153409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3.9759002044846681</v>
      </c>
      <c r="H1765" s="1">
        <f>'[1]Electricity and CHPs_CAP'!D$17</f>
        <v>4.364321258363618</v>
      </c>
      <c r="I1765" s="1">
        <f>'[1]Electricity and CHPs_CAP'!E$17</f>
        <v>4.364321258363618</v>
      </c>
      <c r="J1765" s="1">
        <f>'[2]Electricity and CHPs_CAP'!F$17</f>
        <v>4.3599967853262118</v>
      </c>
      <c r="K1765" s="1">
        <f>'[2]Electricity and CHPs_CAP'!G$17</f>
        <v>4.3599970513878672</v>
      </c>
      <c r="L1765" s="1">
        <f>'[2]Electricity and CHPs_CAP'!H$17</f>
        <v>4.3599978156350128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0.10028766151657656</v>
      </c>
      <c r="G1766" s="1">
        <f t="shared" ref="G1766:K1766" si="1855">SUM(G1767:G1769)</f>
        <v>7.0358472978489323E-2</v>
      </c>
      <c r="H1766" s="1">
        <f t="shared" si="1855"/>
        <v>6.6866937342234048E-2</v>
      </c>
      <c r="I1766" s="1">
        <f t="shared" si="1855"/>
        <v>7.0218535131374021E-2</v>
      </c>
      <c r="J1766" s="1">
        <f t="shared" si="1855"/>
        <v>5.2164073022178681E-2</v>
      </c>
      <c r="K1766" s="1">
        <f t="shared" si="1855"/>
        <v>3.7488434882557611E-2</v>
      </c>
      <c r="L1766" s="1">
        <f t="shared" ref="L1766" si="1856">SUM(L1767:L1769)</f>
        <v>1.4340792698669812E-3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8.1232829986476796E-2</v>
      </c>
      <c r="G1767" s="1">
        <f>'[1]Electricity and CHPs_CAP'!C$18</f>
        <v>3.5789385088572843E-2</v>
      </c>
      <c r="H1767" s="1">
        <f>'[1]Electricity and CHPs_CAP'!D$18</f>
        <v>3.26621325943348E-2</v>
      </c>
      <c r="I1767" s="1">
        <f>'[1]Electricity and CHPs_CAP'!E$18</f>
        <v>4.0101408809086622E-2</v>
      </c>
      <c r="J1767" s="1">
        <f>'[2]Electricity and CHPs_CAP'!F$18</f>
        <v>4.0091211528345612E-2</v>
      </c>
      <c r="K1767" s="1">
        <f>'[2]Electricity and CHPs_CAP'!G$18</f>
        <v>3.7152504518155244E-2</v>
      </c>
      <c r="L1767" s="1">
        <f>'[2]Electricity and CHPs_CAP'!H$18</f>
        <v>1.2695568602278974E-3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1.0757283737330673E-2</v>
      </c>
      <c r="G1768" s="1">
        <f>'[1]Electricity and CHPs_CAP'!C$28</f>
        <v>1.0406777987479129E-2</v>
      </c>
      <c r="H1768" s="1">
        <f>'[1]Electricity and CHPs_CAP'!D$28</f>
        <v>1.0067985908567135E-2</v>
      </c>
      <c r="I1768" s="1">
        <f>'[1]Electricity and CHPs_CAP'!E$28</f>
        <v>5.9965843477021719E-3</v>
      </c>
      <c r="J1768" s="1">
        <f>'[2]Electricity and CHPs_CAP'!F$28</f>
        <v>9.8548399658892911E-4</v>
      </c>
      <c r="K1768" s="1">
        <f>'[2]Electricity and CHPs_CAP'!G$28</f>
        <v>3.3593036440236496E-4</v>
      </c>
      <c r="L1768" s="1">
        <f>'[2]Electricity and CHPs_CAP'!H$28</f>
        <v>1.6452240963908381E-4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8.2975477927690958E-3</v>
      </c>
      <c r="G1769" s="1">
        <f>'[1]Electricity and CHPs_CAP'!C$41</f>
        <v>2.416230990243735E-2</v>
      </c>
      <c r="H1769" s="1">
        <f>'[1]Electricity and CHPs_CAP'!D$41</f>
        <v>2.4136818839332119E-2</v>
      </c>
      <c r="I1769" s="1">
        <f>'[1]Electricity and CHPs_CAP'!E$41</f>
        <v>2.4120541974585231E-2</v>
      </c>
      <c r="J1769" s="1">
        <f>'[2]Electricity and CHPs_CAP'!F$41</f>
        <v>1.1087377497244137E-2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0.30895567489444198</v>
      </c>
      <c r="G1770" s="1">
        <f t="shared" ref="G1770:K1770" si="1858">SUM(G1771:G1785)</f>
        <v>0.18028555822438047</v>
      </c>
      <c r="H1770" s="1">
        <f t="shared" si="1858"/>
        <v>0.15703812084554403</v>
      </c>
      <c r="I1770" s="1">
        <f t="shared" si="1858"/>
        <v>0.10684029595597624</v>
      </c>
      <c r="J1770" s="1">
        <f t="shared" si="1858"/>
        <v>0.12209947478923246</v>
      </c>
      <c r="K1770" s="1">
        <f t="shared" si="1858"/>
        <v>0.13367323180542015</v>
      </c>
      <c r="L1770" s="1">
        <f t="shared" ref="L1770" si="1859">SUM(L1771:L1785)</f>
        <v>0.18766796171969607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5.9172168763437798E-6</v>
      </c>
      <c r="L1771" s="1">
        <f>'[2]Electricity and CHPs_CAP'!H$21</f>
        <v>7.0061401900301456E-4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3.6557338585217801E-4</v>
      </c>
      <c r="K1772" s="1">
        <f>'[2]Electricity and CHPs_CAP'!G$22</f>
        <v>1.523512605783916E-3</v>
      </c>
      <c r="L1772" s="1">
        <f>'[2]Electricity and CHPs_CAP'!H$22</f>
        <v>3.7288518884872744E-2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0.10832730174213549</v>
      </c>
      <c r="G1774" s="1">
        <f>IF('[1]Electricity and CHPs_CAP'!C$24&lt;0,0,'[1]Electricity and CHPs_CAP'!C$24)</f>
        <v>6.1850074897967927E-3</v>
      </c>
      <c r="H1774" s="1">
        <f>IF('[1]Electricity and CHPs_CAP'!D$24&lt;0,0,'[1]Electricity and CHPs_CAP'!D$24)</f>
        <v>6.1699499611585912E-3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4.5701033344932203E-2</v>
      </c>
      <c r="G1776" s="1">
        <f>'[1]Electricity and CHPs_CAP'!C$39</f>
        <v>3.3830713134860552E-2</v>
      </c>
      <c r="H1776" s="1">
        <f>'[1]Electricity and CHPs_CAP'!D$39</f>
        <v>2.5276254932664131E-2</v>
      </c>
      <c r="I1776" s="1">
        <f>'[1]Electricity and CHPs_CAP'!E$39</f>
        <v>1.2310992878392848E-2</v>
      </c>
      <c r="J1776" s="1">
        <f>'[2]Electricity and CHPs_CAP'!F$39</f>
        <v>3.3471612627212009E-2</v>
      </c>
      <c r="K1776" s="1">
        <f>'[2]Electricity and CHPs_CAP'!G$39</f>
        <v>3.3434914067643449E-2</v>
      </c>
      <c r="L1776" s="1">
        <f>'[2]Electricity and CHPs_CAP'!H$39</f>
        <v>3.6639781388547218E-2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1.2245939601713199E-2</v>
      </c>
      <c r="L1777" s="1">
        <f>'[2]Electricity and CHPs_CAP'!H$40</f>
        <v>2.808973225432913E-2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4.5757158043517598E-4</v>
      </c>
      <c r="K1778" s="1">
        <f>'[2]Electricity and CHPs_CAP'!G$47</f>
        <v>4.6005462371439941E-4</v>
      </c>
      <c r="L1778" s="1">
        <f>'[2]Electricity and CHPs_CAP'!H$47</f>
        <v>2.0051245362850159E-4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4.186609550019503E-3</v>
      </c>
      <c r="G1779" s="1">
        <f>'[1]Electricity and CHPs_CAP'!C$48</f>
        <v>2.5028330250821723E-3</v>
      </c>
      <c r="H1779" s="1">
        <f>'[1]Electricity and CHPs_CAP'!D$48</f>
        <v>2.0891366071578588E-3</v>
      </c>
      <c r="I1779" s="1">
        <f>'[1]Electricity and CHPs_CAP'!E$48</f>
        <v>1.8233478151781575E-3</v>
      </c>
      <c r="J1779" s="1">
        <f>'[2]Electricity and CHPs_CAP'!F$48</f>
        <v>6.1975339198202021E-4</v>
      </c>
      <c r="K1779" s="1">
        <f>'[2]Electricity and CHPs_CAP'!G$48</f>
        <v>2.4247677375369093E-4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1.2036453705936865E-2</v>
      </c>
      <c r="G1781" s="1">
        <f>'[1]Electricity and CHPs_CAP'!C$51</f>
        <v>4.8900488044276366E-3</v>
      </c>
      <c r="H1781" s="1">
        <f>'[1]Electricity and CHPs_CAP'!D$51</f>
        <v>4.8261182680332977E-3</v>
      </c>
      <c r="I1781" s="1">
        <f>'[1]Electricity and CHPs_CAP'!E$51</f>
        <v>3.4719353208816361E-3</v>
      </c>
      <c r="J1781" s="1">
        <f>'[2]Electricity and CHPs_CAP'!F$51</f>
        <v>1.9121735645095748E-3</v>
      </c>
      <c r="K1781" s="1">
        <f>'[2]Electricity and CHPs_CAP'!G$51</f>
        <v>7.477536546821738E-4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7.3508874322882001E-2</v>
      </c>
      <c r="G1783" s="1">
        <f>'[1]Electricity and CHPs_CAP'!C$54</f>
        <v>8.4809279494260148E-2</v>
      </c>
      <c r="H1783" s="1">
        <f>'[1]Electricity and CHPs_CAP'!D$54</f>
        <v>8.4799500733820837E-2</v>
      </c>
      <c r="I1783" s="1">
        <f>'[1]Electricity and CHPs_CAP'!E$54</f>
        <v>8.49347801261357E-2</v>
      </c>
      <c r="J1783" s="1">
        <f>'[2]Electricity and CHPs_CAP'!F$54</f>
        <v>8.4751665695271566E-2</v>
      </c>
      <c r="K1783" s="1">
        <f>'[2]Electricity and CHPs_CAP'!G$54</f>
        <v>8.4749599533923178E-2</v>
      </c>
      <c r="L1783" s="1">
        <f>'[2]Electricity and CHPs_CAP'!H$54</f>
        <v>8.474880271931548E-2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6.5195402228535926E-2</v>
      </c>
      <c r="G1784" s="1">
        <f>'[1]Electricity and CHPs_CAP'!C$55</f>
        <v>4.8067676275953139E-2</v>
      </c>
      <c r="H1784" s="1">
        <f>'[1]Electricity and CHPs_CAP'!D$55</f>
        <v>3.3877160342709309E-2</v>
      </c>
      <c r="I1784" s="1">
        <f>'[1]Electricity and CHPs_CAP'!E$55</f>
        <v>4.2992398153878994E-3</v>
      </c>
      <c r="J1784" s="1">
        <f>'[2]Electricity and CHPs_CAP'!F$55</f>
        <v>5.2112454396993982E-4</v>
      </c>
      <c r="K1784" s="1">
        <f>'[2]Electricity and CHPs_CAP'!G$55</f>
        <v>2.630637273297997E-4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0.39704928652510862</v>
      </c>
      <c r="G1786" s="1">
        <f t="shared" ref="G1786:K1786" si="1862">SUM(G1787:G1792)</f>
        <v>0.36028459339516195</v>
      </c>
      <c r="H1786" s="1">
        <f t="shared" si="1862"/>
        <v>0.38774182938695367</v>
      </c>
      <c r="I1786" s="1">
        <f t="shared" si="1862"/>
        <v>0.36825895270061382</v>
      </c>
      <c r="J1786" s="1">
        <f t="shared" si="1862"/>
        <v>0.35005905102981832</v>
      </c>
      <c r="K1786" s="1">
        <f t="shared" si="1862"/>
        <v>0.46276784320082193</v>
      </c>
      <c r="L1786" s="1">
        <f t="shared" ref="L1786" si="1863">SUM(L1787:L1792)</f>
        <v>0.46250316968734473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0.27864794579481322</v>
      </c>
      <c r="G1787" s="1">
        <f>'[1]Electricity and CHPs_CAP'!C$19</f>
        <v>0.27853140953903349</v>
      </c>
      <c r="H1787" s="1">
        <f>'[1]Electricity and CHPs_CAP'!D$19</f>
        <v>0.3117939057380455</v>
      </c>
      <c r="I1787" s="1">
        <f>'[1]Electricity and CHPs_CAP'!E$19</f>
        <v>0.28992250172190026</v>
      </c>
      <c r="J1787" s="1">
        <f>'[2]Electricity and CHPs_CAP'!F$19</f>
        <v>0.2794889747117914</v>
      </c>
      <c r="K1787" s="1">
        <f>'[2]Electricity and CHPs_CAP'!G$19</f>
        <v>0.2350021398945242</v>
      </c>
      <c r="L1787" s="1">
        <f>'[2]Electricity and CHPs_CAP'!H$19</f>
        <v>2.158460768567072E-4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0.113744398037737</v>
      </c>
      <c r="L1788" s="1">
        <f>'[2]Electricity and CHPs_CAP'!H$20</f>
        <v>0.34808049093013665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7.8399388895541613E-2</v>
      </c>
      <c r="G1789" s="1">
        <f>'[1]Electricity and CHPs_CAP'!C$26</f>
        <v>7.1209981135797421E-2</v>
      </c>
      <c r="H1789" s="1">
        <f>'[1]Electricity and CHPs_CAP'!D$26</f>
        <v>7.1168742030482721E-2</v>
      </c>
      <c r="I1789" s="1">
        <f>'[1]Electricity and CHPs_CAP'!E$26</f>
        <v>7.4049215095624857E-2</v>
      </c>
      <c r="J1789" s="1">
        <f>'[2]Electricity and CHPs_CAP'!F$26</f>
        <v>6.9926323170743029E-2</v>
      </c>
      <c r="K1789" s="1">
        <f>'[2]Electricity and CHPs_CAP'!G$26</f>
        <v>5.1956357623328099E-2</v>
      </c>
      <c r="L1789" s="1">
        <f>'[2]Electricity and CHPs_CAP'!H$26</f>
        <v>1.2015511905464835E-4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4.3638692465588297E-2</v>
      </c>
      <c r="L1790" s="1">
        <f>'[2]Electricity and CHPs_CAP'!H$27</f>
        <v>8.1642478382213002E-2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4.0001951834753802E-2</v>
      </c>
      <c r="G1791" s="1">
        <f>'[1]Electricity and CHPs_CAP'!C$44</f>
        <v>1.0543202720331026E-2</v>
      </c>
      <c r="H1791" s="1">
        <f>'[1]Electricity and CHPs_CAP'!D$44</f>
        <v>4.779181618425471E-3</v>
      </c>
      <c r="I1791" s="1">
        <f>'[1]Electricity and CHPs_CAP'!E$44</f>
        <v>4.287235883088731E-3</v>
      </c>
      <c r="J1791" s="1">
        <f>'[2]Electricity and CHPs_CAP'!F$44</f>
        <v>6.4375314728388772E-4</v>
      </c>
      <c r="K1791" s="1">
        <f>'[2]Electricity and CHPs_CAP'!G$44</f>
        <v>5.2701983606878288E-4</v>
      </c>
      <c r="L1791" s="1">
        <f>'[2]Electricity and CHPs_CAP'!H$44</f>
        <v>1.4782698362695744E-4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1.7899235343575501E-2</v>
      </c>
      <c r="L1792" s="1">
        <f>'[2]Electricity and CHPs_CAP'!H$45</f>
        <v>3.229637219545671E-2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1.3501134596580019E-2</v>
      </c>
      <c r="G1793" s="1">
        <f t="shared" ref="G1793:K1793" si="1865">SUM(G1794:G1800)</f>
        <v>1.6275218869680422E-2</v>
      </c>
      <c r="H1793" s="1">
        <f t="shared" si="1865"/>
        <v>4.7875172564701224E-2</v>
      </c>
      <c r="I1793" s="1">
        <f t="shared" si="1865"/>
        <v>9.8669787343917084E-2</v>
      </c>
      <c r="J1793" s="1">
        <f t="shared" si="1865"/>
        <v>0.19148249970067416</v>
      </c>
      <c r="K1793" s="1">
        <f t="shared" si="1865"/>
        <v>0.25369191772858996</v>
      </c>
      <c r="L1793" s="1">
        <f t="shared" ref="L1793" si="1866">SUM(L1794:L1800)</f>
        <v>0.3942296532192015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6.3088220311879883E-4</v>
      </c>
      <c r="G1794" s="1">
        <f>'[1]Electricity and CHPs_CAP'!C$25</f>
        <v>1.2370814708184685E-3</v>
      </c>
      <c r="H1794" s="1">
        <f>'[1]Electricity and CHPs_CAP'!D$25</f>
        <v>1.5587230261404142E-3</v>
      </c>
      <c r="I1794" s="1">
        <f>'[1]Electricity and CHPs_CAP'!E$25</f>
        <v>3.8329771409397612E-3</v>
      </c>
      <c r="J1794" s="1">
        <f>'[2]Electricity and CHPs_CAP'!F$25</f>
        <v>2.8175709677442359E-2</v>
      </c>
      <c r="K1794" s="1">
        <f>'[2]Electricity and CHPs_CAP'!G$25</f>
        <v>5.380289971140783E-2</v>
      </c>
      <c r="L1794" s="1">
        <f>'[2]Electricity and CHPs_CAP'!H$25</f>
        <v>0.10209617036764271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2.8856411979626801E-4</v>
      </c>
      <c r="L1795" s="1">
        <f>'[2]Electricity and CHPs_CAP'!H$31</f>
        <v>0.10819049035269986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1.2870252393461221E-2</v>
      </c>
      <c r="G1796" s="1">
        <f>'[1]Electricity and CHPs_CAP'!C$42</f>
        <v>1.5038137398861954E-2</v>
      </c>
      <c r="H1796" s="1">
        <f>'[1]Electricity and CHPs_CAP'!D$42</f>
        <v>4.631644953856081E-2</v>
      </c>
      <c r="I1796" s="1">
        <f>'[1]Electricity and CHPs_CAP'!E$42</f>
        <v>9.4195697419412902E-2</v>
      </c>
      <c r="J1796" s="1">
        <f>'[2]Electricity and CHPs_CAP'!F$42</f>
        <v>0.13621391181136891</v>
      </c>
      <c r="K1796" s="1">
        <f>'[2]Electricity and CHPs_CAP'!G$42</f>
        <v>0.12191772383870794</v>
      </c>
      <c r="L1796" s="1">
        <f>'[2]Electricity and CHPs_CAP'!H$42</f>
        <v>0.11017725912870721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2.0894580460141001E-2</v>
      </c>
      <c r="L1797" s="1">
        <f>'[2]Electricity and CHPs_CAP'!H$43</f>
        <v>5.1455391416000501E-2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1.3927684143595729E-4</v>
      </c>
      <c r="J1798" s="1">
        <f>'[2]Electricity and CHPs_CAP'!F$50</f>
        <v>6.1020780786222794E-4</v>
      </c>
      <c r="K1798" s="1">
        <f>'[2]Electricity and CHPs_CAP'!G$50</f>
        <v>6.4745224888552988E-4</v>
      </c>
      <c r="L1798" s="1">
        <f>'[2]Electricity and CHPs_CAP'!H$50</f>
        <v>2.4595249026461972E-4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2.4619668007455696E-4</v>
      </c>
      <c r="J1799" s="1">
        <f>'[2]Electricity and CHPs_CAP'!F$53</f>
        <v>2.6162837818976117E-2</v>
      </c>
      <c r="K1799" s="1">
        <f>'[2]Electricity and CHPs_CAP'!G$53</f>
        <v>5.5877791017879E-2</v>
      </c>
      <c r="L1799" s="1">
        <f>'[2]Electricity and CHPs_CAP'!H$53</f>
        <v>2.1956086346689472E-2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2.5563926205390602E-4</v>
      </c>
      <c r="J1800" s="1">
        <f>'[2]Electricity and CHPs_CAP'!F$56</f>
        <v>3.1983258502455005E-4</v>
      </c>
      <c r="K1800" s="1">
        <f>'[2]Electricity and CHPs_CAP'!G$56</f>
        <v>2.6290633177241784E-4</v>
      </c>
      <c r="L1800" s="1">
        <f>'[2]Electricity and CHPs_CAP'!H$56</f>
        <v>1.0830311719714477E-4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9.0662617745997209E-2</v>
      </c>
      <c r="H1801" s="1">
        <f t="shared" si="1868"/>
        <v>8.365853523992621E-2</v>
      </c>
      <c r="I1801" s="1">
        <f t="shared" si="1868"/>
        <v>0.34088408587087532</v>
      </c>
      <c r="J1801" s="1">
        <f t="shared" si="1868"/>
        <v>0.6045053368079768</v>
      </c>
      <c r="K1801" s="1">
        <f t="shared" si="1868"/>
        <v>1.1969625587523769</v>
      </c>
      <c r="L1801" s="1">
        <f t="shared" si="1868"/>
        <v>3.64535688387905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9.0662617745997209E-2</v>
      </c>
      <c r="H1802" s="1">
        <f>'[1]Electricity and CHPs_CAP'!D$33</f>
        <v>8.365853523992621E-2</v>
      </c>
      <c r="I1802" s="1">
        <f>'[1]Electricity and CHPs_CAP'!E$33</f>
        <v>0.34088408587087532</v>
      </c>
      <c r="J1802" s="1">
        <f>'[2]Electricity and CHPs_CAP'!F$33</f>
        <v>0.6045053368079768</v>
      </c>
      <c r="K1802" s="1">
        <f>'[2]Electricity and CHPs_CAP'!G$33</f>
        <v>1.1969625587523769</v>
      </c>
      <c r="L1802" s="1">
        <f>'[2]Electricity and CHPs_CAP'!H$33</f>
        <v>3.64535688387905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4.3714851417875842</v>
      </c>
      <c r="H1803" s="1">
        <f t="shared" si="1869"/>
        <v>9.1890172754312225</v>
      </c>
      <c r="I1803" s="1">
        <f t="shared" si="1869"/>
        <v>15.033711911881475</v>
      </c>
      <c r="J1803" s="1">
        <f t="shared" si="1869"/>
        <v>16.890784030975645</v>
      </c>
      <c r="K1803" s="1">
        <f t="shared" si="1869"/>
        <v>37.012513542492009</v>
      </c>
      <c r="L1803" s="1">
        <f t="shared" ref="L1803" si="1870">SUM(L1804:L1808)</f>
        <v>41.381002563107941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4.4864911900832499E-2</v>
      </c>
      <c r="I1804" s="1">
        <f>'[1]Electricity and CHPs_CAP'!E$34</f>
        <v>0.12144667718272187</v>
      </c>
      <c r="J1804" s="1">
        <f>'[2]Electricity and CHPs_CAP'!F$34</f>
        <v>0.43581847545224406</v>
      </c>
      <c r="K1804" s="1">
        <f>'[2]Electricity and CHPs_CAP'!G$34</f>
        <v>5.5169122865258933</v>
      </c>
      <c r="L1804" s="1">
        <f>'[2]Electricity and CHPs_CAP'!H$34</f>
        <v>6.5591240425179933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1.652929024573641</v>
      </c>
      <c r="H1805" s="1">
        <f>'[1]Electricity and CHPs_CAP'!D$35</f>
        <v>3.56113268765997</v>
      </c>
      <c r="I1805" s="1">
        <f>'[1]Electricity and CHPs_CAP'!E$35</f>
        <v>5.6147042074852802</v>
      </c>
      <c r="J1805" s="1">
        <f>'[2]Electricity and CHPs_CAP'!F$35</f>
        <v>6.4810430244066097</v>
      </c>
      <c r="K1805" s="1">
        <f>'[2]Electricity and CHPs_CAP'!G$35</f>
        <v>11.775188540160537</v>
      </c>
      <c r="L1805" s="1">
        <f>'[2]Electricity and CHPs_CAP'!H$35</f>
        <v>13.007134835387699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1.1561786480868297</v>
      </c>
      <c r="H1806" s="1">
        <f>'[1]Electricity and CHPs_CAP'!D$36</f>
        <v>1.487477375800486</v>
      </c>
      <c r="I1806" s="1">
        <f>'[1]Electricity and CHPs_CAP'!E$36</f>
        <v>3.2249065931547394</v>
      </c>
      <c r="J1806" s="1">
        <f>'[2]Electricity and CHPs_CAP'!F$36</f>
        <v>3.4022012631986049</v>
      </c>
      <c r="K1806" s="1">
        <f>'[2]Electricity and CHPs_CAP'!G$36</f>
        <v>3.589641770032177</v>
      </c>
      <c r="L1806" s="1">
        <f>'[2]Electricity and CHPs_CAP'!H$36</f>
        <v>3.99633782306192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0.43927434041024166</v>
      </c>
      <c r="H1807" s="1">
        <f>'[1]Electricity and CHPs_CAP'!D$37</f>
        <v>0.91570631028671357</v>
      </c>
      <c r="I1807" s="1">
        <f>'[1]Electricity and CHPs_CAP'!E$37</f>
        <v>0.91192177711104327</v>
      </c>
      <c r="J1807" s="1">
        <f>'[2]Electricity and CHPs_CAP'!F$37</f>
        <v>1.147736266466975</v>
      </c>
      <c r="K1807" s="1">
        <f>'[2]Electricity and CHPs_CAP'!G$37</f>
        <v>4.4624646344958121</v>
      </c>
      <c r="L1807" s="1">
        <f>'[2]Electricity and CHPs_CAP'!H$37</f>
        <v>4.9293363327497293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1.1231031287168727</v>
      </c>
      <c r="H1808" s="1">
        <f>'[1]Electricity and CHPs_CAP'!D$38</f>
        <v>3.1798359897832205</v>
      </c>
      <c r="I1808" s="1">
        <f>'[1]Electricity and CHPs_CAP'!E$38</f>
        <v>5.1607326569476903</v>
      </c>
      <c r="J1808" s="1">
        <f>'[2]Electricity and CHPs_CAP'!F$38</f>
        <v>5.423985001451209</v>
      </c>
      <c r="K1808" s="1">
        <f>'[2]Electricity and CHPs_CAP'!G$38</f>
        <v>11.66830631127759</v>
      </c>
      <c r="L1808" s="1">
        <f>'[2]Electricity and CHPs_CAP'!H$38</f>
        <v>12.8890695293906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1.9161932607464701E-3</v>
      </c>
      <c r="L1809" s="1">
        <f>'[2]Electricity and CHPs_CAP'!H$32</f>
        <v>5.3640032772868898E-2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1.9161932607464701E-3</v>
      </c>
      <c r="L1810" s="1">
        <f t="shared" ref="L1810" si="1874">L1809</f>
        <v>5.3640032772868898E-2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2.5823633226281801E-3</v>
      </c>
      <c r="J1811" s="1">
        <f t="shared" si="1875"/>
        <v>1.5584587793755094E-3</v>
      </c>
      <c r="K1811" s="1">
        <f t="shared" si="1875"/>
        <v>2.0009029762216544E-2</v>
      </c>
      <c r="L1811" s="1">
        <f t="shared" ref="L1811" si="1876">SUM(L1812:L1814)</f>
        <v>5.945641556718155E-2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7.6410058741667398E-4</v>
      </c>
      <c r="L1812" s="1">
        <f>'[2]Electricity and CHPs_CAP'!H$30</f>
        <v>3.7591440266390046E-2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1.1209268885622201E-3</v>
      </c>
      <c r="K1813" s="1">
        <f>'[2]Electricity and CHPs_CAP'!G$46</f>
        <v>1.8619701869222086E-2</v>
      </c>
      <c r="L1813" s="1">
        <f>'[2]Electricity and CHPs_CAP'!H$46</f>
        <v>2.1038940298555357E-2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2.5823633226281801E-3</v>
      </c>
      <c r="J1814" s="1">
        <f>'[2]Electricity and CHPs_CAP'!F$57</f>
        <v>4.3753189081328925E-4</v>
      </c>
      <c r="K1814" s="1">
        <f>'[2]Electricity and CHPs_CAP'!G$57</f>
        <v>6.2522730557778379E-4</v>
      </c>
      <c r="L1814" s="1">
        <f>'[2]Electricity and CHPs_CAP'!H$57</f>
        <v>8.260350022361437E-4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0.18322531022244842</v>
      </c>
      <c r="G1815" s="1">
        <f t="shared" ref="G1815:K1815" si="1877">SUM(G1816:G1822)</f>
        <v>0.18330151819712398</v>
      </c>
      <c r="H1815" s="1">
        <f t="shared" si="1877"/>
        <v>0.50961664080503555</v>
      </c>
      <c r="I1815" s="1">
        <f t="shared" si="1877"/>
        <v>0.84630757235125076</v>
      </c>
      <c r="J1815" s="1">
        <f t="shared" si="1877"/>
        <v>0.94671301736748714</v>
      </c>
      <c r="K1815" s="1">
        <f t="shared" si="1877"/>
        <v>2.7922008585305691</v>
      </c>
      <c r="L1815" s="1">
        <f t="shared" ref="L1815" si="1878">SUM(L1816:L1822)</f>
        <v>3.4926734486547693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9.997276009901121E-2</v>
      </c>
      <c r="H1816" s="1">
        <f>'[1]Electricity and CHPs_CAP'!D$63</f>
        <v>9.9969443633639521E-2</v>
      </c>
      <c r="I1816" s="1">
        <f>'[1]Electricity and CHPs_CAP'!E$63</f>
        <v>9.997017813003288E-2</v>
      </c>
      <c r="J1816" s="1">
        <f>'[2]Electricity and CHPs_CAP'!F$63</f>
        <v>9.9996830471237447E-2</v>
      </c>
      <c r="K1816" s="1">
        <f>'[2]Electricity and CHPs_CAP'!G$63</f>
        <v>9.9997581557615414E-2</v>
      </c>
      <c r="L1816" s="1">
        <f>'[2]Electricity and CHPs_CAP'!H$63</f>
        <v>9.999772837918687E-2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1.2706960992768201E-2</v>
      </c>
      <c r="G1817" s="1">
        <f>'[1]Electricity and CHPs_CAP'!C$64</f>
        <v>1.271593329609862E-2</v>
      </c>
      <c r="H1817" s="1">
        <f>'[1]Electricity and CHPs_CAP'!D$64</f>
        <v>1.2866627606723847E-2</v>
      </c>
      <c r="I1817" s="1">
        <f>'[1]Electricity and CHPs_CAP'!E$64</f>
        <v>3.1949216350766994E-2</v>
      </c>
      <c r="J1817" s="1">
        <f>'[2]Electricity and CHPs_CAP'!F$64</f>
        <v>4.9144227958177585E-2</v>
      </c>
      <c r="K1817" s="1">
        <f>'[2]Electricity and CHPs_CAP'!G$64</f>
        <v>1.1173121915537889</v>
      </c>
      <c r="L1817" s="1">
        <f>'[2]Electricity and CHPs_CAP'!H$64</f>
        <v>1.1174011424069468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9.6401009126476107E-3</v>
      </c>
      <c r="G1818" s="1">
        <f>'[1]Electricity and CHPs_CAP'!C$65</f>
        <v>9.6497167756319675E-3</v>
      </c>
      <c r="H1818" s="1">
        <f>'[1]Electricity and CHPs_CAP'!D$65</f>
        <v>9.7586707475158276E-3</v>
      </c>
      <c r="I1818" s="1">
        <f>'[1]Electricity and CHPs_CAP'!E$65</f>
        <v>1.7650283203251058E-2</v>
      </c>
      <c r="J1818" s="1">
        <f>'[2]Electricity and CHPs_CAP'!F$65</f>
        <v>3.4126445168775145E-2</v>
      </c>
      <c r="K1818" s="1">
        <f>'[2]Electricity and CHPs_CAP'!G$65</f>
        <v>0.22282930113109764</v>
      </c>
      <c r="L1818" s="1">
        <f>'[2]Electricity and CHPs_CAP'!H$65</f>
        <v>0.63100023159818364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1.0042638807873625E-2</v>
      </c>
      <c r="G1819" s="1">
        <f>'[1]Electricity and CHPs_CAP'!C$66</f>
        <v>1.0056056809871984E-2</v>
      </c>
      <c r="H1819" s="1">
        <f>'[1]Electricity and CHPs_CAP'!D$66</f>
        <v>7.1502404852610613E-2</v>
      </c>
      <c r="I1819" s="1">
        <f>'[1]Electricity and CHPs_CAP'!E$66</f>
        <v>0.11485678790357512</v>
      </c>
      <c r="J1819" s="1">
        <f>'[2]Electricity and CHPs_CAP'!F$66</f>
        <v>0.13492820548641962</v>
      </c>
      <c r="K1819" s="1">
        <f>'[2]Electricity and CHPs_CAP'!G$66</f>
        <v>0.25297095256369967</v>
      </c>
      <c r="L1819" s="1">
        <f>'[2]Electricity and CHPs_CAP'!H$66</f>
        <v>0.30755585226615567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2.118490047211433E-2</v>
      </c>
      <c r="G1820" s="1">
        <f>'[1]Electricity and CHPs_CAP'!C$67</f>
        <v>2.1217381428038345E-2</v>
      </c>
      <c r="H1820" s="1">
        <f>'[1]Electricity and CHPs_CAP'!D$67</f>
        <v>0.15329253630117884</v>
      </c>
      <c r="I1820" s="1">
        <f>'[1]Electricity and CHPs_CAP'!E$67</f>
        <v>0.33449920570524139</v>
      </c>
      <c r="J1820" s="1">
        <f>'[2]Electricity and CHPs_CAP'!F$67</f>
        <v>0.3605293911203209</v>
      </c>
      <c r="K1820" s="1">
        <f>'[2]Electricity and CHPs_CAP'!G$67</f>
        <v>0.40007793066875019</v>
      </c>
      <c r="L1820" s="1">
        <f>'[2]Electricity and CHPs_CAP'!H$67</f>
        <v>0.49126119495839116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1.9202524602450664E-2</v>
      </c>
      <c r="G1821" s="1">
        <f>'[1]Electricity and CHPs_CAP'!C$68</f>
        <v>1.9226490388208617E-2</v>
      </c>
      <c r="H1821" s="1">
        <f>'[1]Electricity and CHPs_CAP'!D$68</f>
        <v>3.6728619300343449E-2</v>
      </c>
      <c r="I1821" s="1">
        <f>'[1]Electricity and CHPs_CAP'!E$68</f>
        <v>3.7537359726462008E-2</v>
      </c>
      <c r="J1821" s="1">
        <f>'[2]Electricity and CHPs_CAP'!F$68</f>
        <v>4.2215388794788922E-2</v>
      </c>
      <c r="K1821" s="1">
        <f>'[2]Electricity and CHPs_CAP'!G$68</f>
        <v>0.18818204784754267</v>
      </c>
      <c r="L1821" s="1">
        <f>'[2]Electricity and CHPs_CAP'!H$68</f>
        <v>0.2327240920155636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1.0448184434593983E-2</v>
      </c>
      <c r="G1822" s="1">
        <f>'[1]Electricity and CHPs_CAP'!C$69</f>
        <v>1.0463179400263247E-2</v>
      </c>
      <c r="H1822" s="1">
        <f>'[1]Electricity and CHPs_CAP'!D$69</f>
        <v>0.12549833836302349</v>
      </c>
      <c r="I1822" s="1">
        <f>'[1]Electricity and CHPs_CAP'!E$69</f>
        <v>0.20984454133192129</v>
      </c>
      <c r="J1822" s="1">
        <f>'[2]Electricity and CHPs_CAP'!F$69</f>
        <v>0.22577252836776754</v>
      </c>
      <c r="K1822" s="1">
        <f>'[2]Electricity and CHPs_CAP'!G$69</f>
        <v>0.51083085320807464</v>
      </c>
      <c r="L1822" s="1">
        <f>'[2]Electricity and CHPs_CAP'!H$69</f>
        <v>0.61273320703034129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11.164660214352383</v>
      </c>
      <c r="G1823" s="3">
        <f t="shared" ref="G1823:K1823" si="1881">SUM(G1824,G1843)</f>
        <v>11.951580044925967</v>
      </c>
      <c r="H1823" s="3">
        <f t="shared" si="1881"/>
        <v>11.858986350229776</v>
      </c>
      <c r="I1823" s="3">
        <f t="shared" si="1881"/>
        <v>13.123880014895573</v>
      </c>
      <c r="J1823" s="3">
        <f t="shared" si="1881"/>
        <v>9.3473617419456385</v>
      </c>
      <c r="K1823" s="3">
        <f t="shared" si="1881"/>
        <v>9.0368402967383972</v>
      </c>
      <c r="L1823" s="3">
        <f t="shared" ref="L1823" si="1882">SUM(L1824,L1843)</f>
        <v>8.4028259096969222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9.3031653217428936</v>
      </c>
      <c r="G1824" s="1">
        <f t="shared" ref="G1824:K1824" si="1883">SUM(G1825,G1828,G1830,G1833,G1835,G1837,G1839,G1841)</f>
        <v>9.9331941456963726</v>
      </c>
      <c r="H1824" s="1">
        <f t="shared" si="1883"/>
        <v>9.9033594632878152</v>
      </c>
      <c r="I1824" s="1">
        <f t="shared" si="1883"/>
        <v>11.069473361064484</v>
      </c>
      <c r="J1824" s="1">
        <f t="shared" si="1883"/>
        <v>7.6305890760366228</v>
      </c>
      <c r="K1824" s="1">
        <f t="shared" si="1883"/>
        <v>7.0869084568025542</v>
      </c>
      <c r="L1824" s="1">
        <f t="shared" ref="L1824" si="1884">SUM(L1825,L1828,L1830,L1833,L1835,L1837,L1839,L1841)</f>
        <v>6.3311064387171836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2.111714442656516</v>
      </c>
      <c r="G1825" s="1">
        <f t="shared" ref="G1825:K1825" si="1885">SUM(G1826:G1827)</f>
        <v>2.4019297157418</v>
      </c>
      <c r="H1825" s="1">
        <f t="shared" si="1885"/>
        <v>2.7466899370178424</v>
      </c>
      <c r="I1825" s="1">
        <f t="shared" si="1885"/>
        <v>3.2883483905890571</v>
      </c>
      <c r="J1825" s="1">
        <f t="shared" si="1885"/>
        <v>3.6859702736883784</v>
      </c>
      <c r="K1825" s="1">
        <f t="shared" si="1885"/>
        <v>4.1901550950167437</v>
      </c>
      <c r="L1825" s="1">
        <f t="shared" ref="L1825" si="1886">SUM(L1826:L1827)</f>
        <v>4.2640548667169496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0.67260685124093256</v>
      </c>
      <c r="G1826" s="1" cm="1">
        <f t="array" ref="G1826">SUMPRODUCT(([1]OUT_FinalEnergyCons!$B$4:$B$10000="var_cap")*1,(ISNUMBER(SEARCH("RH*-SHELCBR",[1]OUT_FinalEnergyCons!$A$4:$A$10000)))*1,[1]OUT_FinalEnergyCons!E$4:E$10000)</f>
        <v>0.7346181152637925</v>
      </c>
      <c r="H1826" s="1" cm="1">
        <f t="array" ref="H1826">SUMPRODUCT(([1]OUT_FinalEnergyCons!$B$4:$B$10000="var_cap")*1,(ISNUMBER(SEARCH("RH*-SHELCBR",[1]OUT_FinalEnergyCons!$A$4:$A$10000)))*1,[1]OUT_FinalEnergyCons!F$4:F$10000)</f>
        <v>0.16500980914133312</v>
      </c>
      <c r="I1826" s="1" cm="1">
        <f t="array" ref="I1826">SUMPRODUCT(([1]OUT_FinalEnergyCons!$B$4:$B$10000="var_cap")*1,(ISNUMBER(SEARCH("RH*-SHELCBR",[1]OUT_FinalEnergyCons!$A$4:$A$10000)))*1,[1]OUT_FinalEnergyCons!G$4:G$10000)</f>
        <v>7.3715914484717149E-2</v>
      </c>
      <c r="J1826" s="1" cm="1">
        <f t="array" ref="J1826">SUMPRODUCT(([2]OUT_FinalEnergyCons!$B$4:$B$10000="var_cap")*1,(ISNUMBER(SEARCH("RH*-SHELCBR",[2]OUT_FinalEnergyCons!$A$4:$A$10000)))*1,[2]OUT_FinalEnergyCons!H$4:H$10000)</f>
        <v>2.2894745758429175E-2</v>
      </c>
      <c r="K1826" s="1" cm="1">
        <f t="array" ref="K1826">SUMPRODUCT(([2]OUT_FinalEnergyCons!$B$4:$B$10000="var_cap")*1,(ISNUMBER(SEARCH("RH*-SHELCBR",[2]OUT_FinalEnergyCons!$A$4:$A$10000)))*1,[2]OUT_FinalEnergyCons!I$4:I$10000)</f>
        <v>5.9216710293677815E-3</v>
      </c>
      <c r="L1826" s="1" cm="1">
        <f t="array" ref="L1826">SUMPRODUCT(([2]OUT_FinalEnergyCons!$B$4:$B$10000="var_cap")*1,(ISNUMBER(SEARCH("RH*-SHELCBR",[2]OUT_FinalEnergyCons!$A$4:$A$10000)))*1,[2]OUT_FinalEnergyCons!J$4:J$10000)</f>
        <v>2.9177820866448829E-3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1.4391075914155833</v>
      </c>
      <c r="G1827" s="1" cm="1">
        <f t="array" ref="G1827">SUMPRODUCT(([1]OUT_FinalEnergyCons!$B$4:$B$10000="var_cap")*1,ISNUMBER(SEARCH("RH*-SHELCHP",[1]OUT_FinalEnergyCons!$A$4:$A$10000))*1,[1]OUT_FinalEnergyCons!E$4:E$10000)</f>
        <v>1.6673116004780075</v>
      </c>
      <c r="H1827" s="1" cm="1">
        <f t="array" ref="H1827">SUMPRODUCT(([1]OUT_FinalEnergyCons!$B$4:$B$10000="var_cap")*1,ISNUMBER(SEARCH("RH*-SHELCHP",[1]OUT_FinalEnergyCons!$A$4:$A$10000))*1,[1]OUT_FinalEnergyCons!F$4:F$10000)</f>
        <v>2.5816801278765094</v>
      </c>
      <c r="I1827" s="1" cm="1">
        <f t="array" ref="I1827">SUMPRODUCT(([1]OUT_FinalEnergyCons!$B$4:$B$10000="var_cap")*1,ISNUMBER(SEARCH("RH*-SHELCHP",[1]OUT_FinalEnergyCons!$A$4:$A$10000))*1,[1]OUT_FinalEnergyCons!G$4:G$10000)</f>
        <v>3.2146324761043399</v>
      </c>
      <c r="J1827" s="1" cm="1">
        <f t="array" ref="J1827">SUMPRODUCT(([2]OUT_FinalEnergyCons!$B$4:$B$10000="var_cap")*1,ISNUMBER(SEARCH("RH*-SHELCHP",[2]OUT_FinalEnergyCons!$A$4:$A$10000))*1,[2]OUT_FinalEnergyCons!H$4:H$10000)</f>
        <v>3.6630755279299492</v>
      </c>
      <c r="K1827" s="1" cm="1">
        <f t="array" ref="K1827">SUMPRODUCT(([2]OUT_FinalEnergyCons!$B$4:$B$10000="var_cap")*1,ISNUMBER(SEARCH("RH*-SHELCHP",[2]OUT_FinalEnergyCons!$A$4:$A$10000))*1,[2]OUT_FinalEnergyCons!I$4:I$10000)</f>
        <v>4.1842334239873757</v>
      </c>
      <c r="L1827" s="1" cm="1">
        <f t="array" ref="L1827">SUMPRODUCT(([2]OUT_FinalEnergyCons!$B$4:$B$10000="var_cap")*1,ISNUMBER(SEARCH("RH*-SHELCHP",[2]OUT_FinalEnergyCons!$A$4:$A$10000))*1,[2]OUT_FinalEnergyCons!J$4:J$10000)</f>
        <v>4.2611370846303043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3.3908918835775168</v>
      </c>
      <c r="H1828" s="1">
        <f t="shared" si="1891"/>
        <v>2.9297016490919012</v>
      </c>
      <c r="I1828" s="1">
        <f t="shared" si="1891"/>
        <v>2.9179873679323212</v>
      </c>
      <c r="J1828" s="1">
        <f t="shared" si="1891"/>
        <v>0.90644926575239393</v>
      </c>
      <c r="K1828" s="1">
        <f t="shared" si="1891"/>
        <v>0.34041575418544751</v>
      </c>
      <c r="L1828" s="1">
        <f t="shared" si="1891"/>
        <v>8.1265658489808518E-2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3.3908918835775168</v>
      </c>
      <c r="H1829" s="1" cm="1">
        <f t="array" ref="H1829">SUMPRODUCT(([1]OUT_FinalEnergyCons!$B$4:$B$10000="var_cap")*1, (ISNUMBER(SEARCH("RH*-SHLFOBR",[1]OUT_FinalEnergyCons!$A$4:$A$10000)))*1,[1]OUT_FinalEnergyCons!F$4:F$10000)</f>
        <v>2.9297016490919012</v>
      </c>
      <c r="I1829" s="1" cm="1">
        <f t="array" ref="I1829">SUMPRODUCT(([1]OUT_FinalEnergyCons!$B$4:$B$10000="var_cap")*1, (ISNUMBER(SEARCH("RH*-SHLFOBR",[1]OUT_FinalEnergyCons!$A$4:$A$10000)))*1,[1]OUT_FinalEnergyCons!G$4:G$10000)</f>
        <v>2.9179873679323212</v>
      </c>
      <c r="J1829" s="1" cm="1">
        <f t="array" ref="J1829">SUMPRODUCT(([2]OUT_FinalEnergyCons!$B$4:$B$10000="var_cap")*1, (ISNUMBER(SEARCH("RH*-SHLFOBR",[2]OUT_FinalEnergyCons!$A$4:$A$10000)))*1,[2]OUT_FinalEnergyCons!H$4:H$10000)</f>
        <v>0.90644926575239393</v>
      </c>
      <c r="K1829" s="1" cm="1">
        <f t="array" ref="K1829">SUMPRODUCT(([2]OUT_FinalEnergyCons!$B$4:$B$10000="var_cap")*1, (ISNUMBER(SEARCH("RH*-SHLFOBR",[2]OUT_FinalEnergyCons!$A$4:$A$10000)))*1,[2]OUT_FinalEnergyCons!I$4:I$10000)</f>
        <v>0.34041575418544751</v>
      </c>
      <c r="L1829" s="1" cm="1">
        <f t="array" ref="L1829">SUMPRODUCT(([2]OUT_FinalEnergyCons!$B$4:$B$10000="var_cap")*1, (ISNUMBER(SEARCH("RH*-SHLFOBR",[2]OUT_FinalEnergyCons!$A$4:$A$10000)))*1,[2]OUT_FinalEnergyCons!J$4:J$10000)</f>
        <v>8.1265658489808518E-2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2.7687560637805997</v>
      </c>
      <c r="G1830" s="1">
        <f t="shared" ref="G1830:K1830" si="1894">SUM(G1831:G1832)</f>
        <v>2.985298301446432</v>
      </c>
      <c r="H1830" s="1">
        <f t="shared" si="1894"/>
        <v>3.2420341878675401</v>
      </c>
      <c r="I1830" s="1">
        <f t="shared" si="1894"/>
        <v>3.8757075037725848</v>
      </c>
      <c r="J1830" s="1">
        <f t="shared" si="1894"/>
        <v>2.3694927914830402</v>
      </c>
      <c r="K1830" s="1">
        <f t="shared" si="1894"/>
        <v>2.0213943020453566</v>
      </c>
      <c r="L1830" s="1">
        <f t="shared" ref="L1830" si="1895">SUM(L1831:L1832)</f>
        <v>1.6777370497418347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2.9852561817935266</v>
      </c>
      <c r="H1831" s="1" cm="1">
        <f t="array" ref="H1831">SUMPRODUCT(([1]OUT_FinalEnergyCons!$B$4:$B$10000="var_cap")*1, (ISNUMBER(SEARCH("RH*-SHNGABR",[1]OUT_FinalEnergyCons!$A$4:$A$10000)))*1,[1]OUT_FinalEnergyCons!F$4:F$10000)</f>
        <v>2.8488152920298115</v>
      </c>
      <c r="I1831" s="1" cm="1">
        <f t="array" ref="I1831">SUMPRODUCT(([1]OUT_FinalEnergyCons!$B$4:$B$10000="var_cap")*1, (ISNUMBER(SEARCH("RH*-SHNGABR",[1]OUT_FinalEnergyCons!$A$4:$A$10000)))*1,[1]OUT_FinalEnergyCons!G$4:G$10000)</f>
        <v>2.8448121684044003</v>
      </c>
      <c r="J1831" s="1" cm="1">
        <f t="array" ref="J1831">SUMPRODUCT(([2]OUT_FinalEnergyCons!$B$4:$B$10000="var_cap")*1, (ISNUMBER(SEARCH("RH*-SHNGABR",[2]OUT_FinalEnergyCons!$A$4:$A$10000)))*1,[2]OUT_FinalEnergyCons!H$4:H$10000)</f>
        <v>1.0949418374047821</v>
      </c>
      <c r="K1831" s="1" cm="1">
        <f t="array" ref="K1831">SUMPRODUCT(([2]OUT_FinalEnergyCons!$B$4:$B$10000="var_cap")*1, (ISNUMBER(SEARCH("RH*-SHNGABR",[2]OUT_FinalEnergyCons!$A$4:$A$10000)))*1,[2]OUT_FinalEnergyCons!I$4:I$10000)</f>
        <v>0.48310402446941209</v>
      </c>
      <c r="L1831" s="1" cm="1">
        <f t="array" ref="L1831">SUMPRODUCT(([2]OUT_FinalEnergyCons!$B$4:$B$10000="var_cap")*1, (ISNUMBER(SEARCH("RH*-SHNGABR",[2]OUT_FinalEnergyCons!$A$4:$A$10000)))*1,[2]OUT_FinalEnergyCons!J$4:J$10000)</f>
        <v>0.21738962882703383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2.01254224972051E-6</v>
      </c>
      <c r="G1832" s="1" cm="1">
        <f t="array" ref="G1832">SUMPRODUCT(([1]OUT_FinalEnergyCons!$B$4:$B$10000="var_cap")*1,ISNUMBER(SEARCH("RH*-SHngahp",[1]OUT_FinalEnergyCons!$A$4:$A$10000))*1,[1]OUT_FinalEnergyCons!E$4:E$10000)</f>
        <v>4.2119652905483707E-5</v>
      </c>
      <c r="H1832" s="1" cm="1">
        <f t="array" ref="H1832">SUMPRODUCT(([1]OUT_FinalEnergyCons!$B$4:$B$10000="var_cap")*1,ISNUMBER(SEARCH("RH*-SHngahp",[1]OUT_FinalEnergyCons!$A$4:$A$10000))*1,[1]OUT_FinalEnergyCons!F$4:F$10000)</f>
        <v>0.39321889583772862</v>
      </c>
      <c r="I1832" s="1" cm="1">
        <f t="array" ref="I1832">SUMPRODUCT(([1]OUT_FinalEnergyCons!$B$4:$B$10000="var_cap")*1,ISNUMBER(SEARCH("RH*-SHngahp",[1]OUT_FinalEnergyCons!$A$4:$A$10000))*1,[1]OUT_FinalEnergyCons!G$4:G$10000)</f>
        <v>1.0308953353681842</v>
      </c>
      <c r="J1832" s="1" cm="1">
        <f t="array" ref="J1832">SUMPRODUCT(([2]OUT_FinalEnergyCons!$B$4:$B$10000="var_cap")*1,ISNUMBER(SEARCH("RH*-SHngahp",[2]OUT_FinalEnergyCons!$A$4:$A$10000))*1,[2]OUT_FinalEnergyCons!H$4:H$10000)</f>
        <v>1.274550954078258</v>
      </c>
      <c r="K1832" s="1" cm="1">
        <f t="array" ref="K1832">SUMPRODUCT(([2]OUT_FinalEnergyCons!$B$4:$B$10000="var_cap")*1,ISNUMBER(SEARCH("RH*-SHngahp",[2]OUT_FinalEnergyCons!$A$4:$A$10000))*1,[2]OUT_FinalEnergyCons!I$4:I$10000)</f>
        <v>1.5382902775759444</v>
      </c>
      <c r="L1832" s="1" cm="1">
        <f t="array" ref="L1832">SUMPRODUCT(([2]OUT_FinalEnergyCons!$B$4:$B$10000="var_cap")*1,ISNUMBER(SEARCH("RH*-SHngahp",[2]OUT_FinalEnergyCons!$A$4:$A$10000))*1,[2]OUT_FinalEnergyCons!J$4:J$10000)</f>
        <v>1.4603474209148009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6.9932379087926325E-3</v>
      </c>
      <c r="H1833" s="1">
        <f t="shared" si="1899"/>
        <v>3.0152748074418999E-3</v>
      </c>
      <c r="I1833" s="1">
        <f t="shared" si="1899"/>
        <v>2.5890387824050419E-5</v>
      </c>
      <c r="J1833" s="1">
        <f t="shared" si="1899"/>
        <v>1.5447778037699835E-6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6.9932379087926325E-3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3.0152748074418999E-3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2.5890387824050419E-5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1.5447778037699835E-6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0.68965230340440487</v>
      </c>
      <c r="G1835" s="1">
        <f t="shared" ref="G1835:L1835" si="1901">G1836</f>
        <v>0.76719174596982753</v>
      </c>
      <c r="H1835" s="1">
        <f t="shared" si="1901"/>
        <v>0.7869537174311515</v>
      </c>
      <c r="I1835" s="1">
        <f t="shared" si="1901"/>
        <v>0.78684857081471471</v>
      </c>
      <c r="J1835" s="1">
        <f t="shared" si="1901"/>
        <v>0.59675446574665891</v>
      </c>
      <c r="K1835" s="1">
        <f t="shared" si="1901"/>
        <v>0.4964597837834081</v>
      </c>
      <c r="L1835" s="1">
        <f t="shared" si="1901"/>
        <v>0.27574825263210773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0.68965230340440487</v>
      </c>
      <c r="G1836" s="1" cm="1">
        <f t="array" ref="G1836">SUMPRODUCT(([1]OUT_FinalEnergyCons!$B$4:$B$10000="var_cap")*1, (ISNUMBER(SEARCH("RH*-SHWODBR",[1]OUT_FinalEnergyCons!$A$4:$A$10000)))*1,[1]OUT_FinalEnergyCons!E$4:E$10000)</f>
        <v>0.76719174596982753</v>
      </c>
      <c r="H1836" s="1" cm="1">
        <f t="array" ref="H1836">SUMPRODUCT(([1]OUT_FinalEnergyCons!$B$4:$B$10000="var_cap")*1, (ISNUMBER(SEARCH("RH*-SHWODBR",[1]OUT_FinalEnergyCons!$A$4:$A$10000)))*1,[1]OUT_FinalEnergyCons!F$4:F$10000)</f>
        <v>0.7869537174311515</v>
      </c>
      <c r="I1836" s="1" cm="1">
        <f t="array" ref="I1836">SUMPRODUCT(([1]OUT_FinalEnergyCons!$B$4:$B$10000="var_cap")*1, (ISNUMBER(SEARCH("RH*-SHWODBR",[1]OUT_FinalEnergyCons!$A$4:$A$10000)))*1,[1]OUT_FinalEnergyCons!G$4:G$10000)</f>
        <v>0.78684857081471471</v>
      </c>
      <c r="J1836" s="1" cm="1">
        <f t="array" ref="J1836">SUMPRODUCT(([2]OUT_FinalEnergyCons!$B$4:$B$10000="var_cap")*1, (ISNUMBER(SEARCH("RH*-SHWODBR",[2]OUT_FinalEnergyCons!$A$4:$A$10000)))*1,[2]OUT_FinalEnergyCons!H$4:H$10000)</f>
        <v>0.59675446574665891</v>
      </c>
      <c r="K1836" s="1" cm="1">
        <f t="array" ref="K1836">SUMPRODUCT(([2]OUT_FinalEnergyCons!$B$4:$B$10000="var_cap")*1, (ISNUMBER(SEARCH("RH*-SHWODBR",[2]OUT_FinalEnergyCons!$A$4:$A$10000)))*1,[2]OUT_FinalEnergyCons!I$4:I$10000)</f>
        <v>0.4964597837834081</v>
      </c>
      <c r="L1836" s="1" cm="1">
        <f t="array" ref="L1836">SUMPRODUCT(([2]OUT_FinalEnergyCons!$B$4:$B$10000="var_cap")*1, (ISNUMBER(SEARCH("RH*-SHWODBR",[2]OUT_FinalEnergyCons!$A$4:$A$10000)))*1,[2]OUT_FinalEnergyCons!J$4:J$10000)</f>
        <v>0.27574825263210773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0.20443145252559222</v>
      </c>
      <c r="G1837" s="1">
        <f t="shared" ref="G1837:L1837" si="1904">G1838</f>
        <v>0.24124318896312028</v>
      </c>
      <c r="H1837" s="1">
        <f t="shared" si="1904"/>
        <v>5.3776907772467165E-2</v>
      </c>
      <c r="I1837" s="1">
        <f t="shared" si="1904"/>
        <v>5.4857823389785537E-2</v>
      </c>
      <c r="J1837" s="1">
        <f t="shared" si="1904"/>
        <v>3.1426127265689795E-2</v>
      </c>
      <c r="K1837" s="1">
        <f t="shared" si="1904"/>
        <v>3.2618984640473137E-2</v>
      </c>
      <c r="L1837" s="1">
        <f t="shared" si="1904"/>
        <v>2.7246529816564644E-2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0.20443145252559222</v>
      </c>
      <c r="G1838" s="1" cm="1">
        <f t="array" ref="G1838">SUMPRODUCT(([1]OUT_FinalEnergyCons!$B$4:$B$10000="var_cap")*1, (ISNUMBER(SEARCH("RH*-SHPLTBR",[1]OUT_FinalEnergyCons!$A$4:$A$10000)))*1,[1]OUT_FinalEnergyCons!E$4:E$10000)</f>
        <v>0.24124318896312028</v>
      </c>
      <c r="H1838" s="1" cm="1">
        <f t="array" ref="H1838">SUMPRODUCT(([1]OUT_FinalEnergyCons!$B$4:$B$10000="var_cap")*1, (ISNUMBER(SEARCH("RH*-SHPLTBR",[1]OUT_FinalEnergyCons!$A$4:$A$10000)))*1,[1]OUT_FinalEnergyCons!F$4:F$10000)</f>
        <v>5.3776907772467165E-2</v>
      </c>
      <c r="I1838" s="1" cm="1">
        <f t="array" ref="I1838">SUMPRODUCT(([1]OUT_FinalEnergyCons!$B$4:$B$10000="var_cap")*1, (ISNUMBER(SEARCH("RH*-SHPLTBR",[1]OUT_FinalEnergyCons!$A$4:$A$10000)))*1,[1]OUT_FinalEnergyCons!G$4:G$10000)</f>
        <v>5.4857823389785537E-2</v>
      </c>
      <c r="J1838" s="1" cm="1">
        <f t="array" ref="J1838">SUMPRODUCT(([2]OUT_FinalEnergyCons!$B$4:$B$10000="var_cap")*1, (ISNUMBER(SEARCH("RH*-SHPLTBR",[2]OUT_FinalEnergyCons!$A$4:$A$10000)))*1,[2]OUT_FinalEnergyCons!H$4:H$10000)</f>
        <v>3.1426127265689795E-2</v>
      </c>
      <c r="K1838" s="1" cm="1">
        <f t="array" ref="K1838">SUMPRODUCT(([2]OUT_FinalEnergyCons!$B$4:$B$10000="var_cap")*1, (ISNUMBER(SEARCH("RH*-SHPLTBR",[2]OUT_FinalEnergyCons!$A$4:$A$10000)))*1,[2]OUT_FinalEnergyCons!I$4:I$10000)</f>
        <v>3.2618984640473137E-2</v>
      </c>
      <c r="L1838" s="1" cm="1">
        <f t="array" ref="L1838">SUMPRODUCT(([2]OUT_FinalEnergyCons!$B$4:$B$10000="var_cap")*1, (ISNUMBER(SEARCH("RH*-SHPLTBR",[2]OUT_FinalEnergyCons!$A$4:$A$10000)))*1,[2]OUT_FinalEnergyCons!J$4:J$10000)</f>
        <v>2.7246529816564644E-2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0.11420567626510202</v>
      </c>
      <c r="G1839" s="1">
        <f t="shared" ref="G1839:L1839" si="1907">G1840</f>
        <v>0.13964607208888535</v>
      </c>
      <c r="H1839" s="1">
        <f t="shared" si="1907"/>
        <v>0.14118778929947146</v>
      </c>
      <c r="I1839" s="1">
        <f t="shared" si="1907"/>
        <v>0.14569781417819522</v>
      </c>
      <c r="J1839" s="1">
        <f t="shared" si="1907"/>
        <v>4.0494607322657548E-2</v>
      </c>
      <c r="K1839" s="1">
        <f t="shared" si="1907"/>
        <v>5.8645371311247824E-3</v>
      </c>
      <c r="L1839" s="1">
        <f t="shared" si="1907"/>
        <v>5.054081319918643E-3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0.11420567626510202</v>
      </c>
      <c r="G1840" s="1" cm="1">
        <f t="array" ref="G1840">SUMPRODUCT(([1]OUT_FinalEnergyCons!$B$4:$B$10000="var_cap")*1, (ISNUMBER(SEARCH("RH*-SHSOLBR",[1]OUT_FinalEnergyCons!$A$4:$A$10000)))*1,[1]OUT_FinalEnergyCons!E$4:E$10000)</f>
        <v>0.13964607208888535</v>
      </c>
      <c r="H1840" s="1" cm="1">
        <f t="array" ref="H1840">SUMPRODUCT(([1]OUT_FinalEnergyCons!$B$4:$B$10000="var_cap")*1, (ISNUMBER(SEARCH("RH*-SHSOLBR",[1]OUT_FinalEnergyCons!$A$4:$A$10000)))*1,[1]OUT_FinalEnergyCons!F$4:F$10000)</f>
        <v>0.14118778929947146</v>
      </c>
      <c r="I1840" s="1" cm="1">
        <f t="array" ref="I1840">SUMPRODUCT(([1]OUT_FinalEnergyCons!$B$4:$B$10000="var_cap")*1, (ISNUMBER(SEARCH("RH*-SHSOLBR",[1]OUT_FinalEnergyCons!$A$4:$A$10000)))*1,[1]OUT_FinalEnergyCons!G$4:G$10000)</f>
        <v>0.14569781417819522</v>
      </c>
      <c r="J1840" s="1" cm="1">
        <f t="array" ref="J1840">SUMPRODUCT(([2]OUT_FinalEnergyCons!$B$4:$B$10000="var_cap")*1, (ISNUMBER(SEARCH("RH*-SHSOLBR",[2]OUT_FinalEnergyCons!$A$4:$A$10000)))*1,[2]OUT_FinalEnergyCons!H$4:H$10000)</f>
        <v>4.0494607322657548E-2</v>
      </c>
      <c r="K1840" s="1" cm="1">
        <f t="array" ref="K1840">SUMPRODUCT(([2]OUT_FinalEnergyCons!$B$4:$B$10000="var_cap")*1, (ISNUMBER(SEARCH("RH*-SHSOLBR",[2]OUT_FinalEnergyCons!$A$4:$A$10000)))*1,[2]OUT_FinalEnergyCons!I$4:I$10000)</f>
        <v>5.8645371311247824E-3</v>
      </c>
      <c r="L1840" s="1" cm="1">
        <f t="array" ref="L1840">SUMPRODUCT(([2]OUT_FinalEnergyCons!$B$4:$B$10000="var_cap")*1, (ISNUMBER(SEARCH("RH*-SHSOLBR",[2]OUT_FinalEnergyCons!$A$4:$A$10000)))*1,[2]OUT_FinalEnergyCons!J$4:J$10000)</f>
        <v>5.054081319918643E-3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1.8614948926094892</v>
      </c>
      <c r="G1843" s="1">
        <f t="shared" ref="G1843" si="1913">SUM(G1844,G1847,G1849,G1852,G1854,G1856,G1858,G1860)</f>
        <v>2.0183858992295942</v>
      </c>
      <c r="H1843" s="1">
        <f t="shared" ref="H1843" si="1914">SUM(H1844,H1847,H1849,H1852,H1854,H1856,H1858,H1860)</f>
        <v>1.9556268869419602</v>
      </c>
      <c r="I1843" s="1">
        <f t="shared" ref="I1843" si="1915">SUM(I1844,I1847,I1849,I1852,I1854,I1856,I1858,I1860)</f>
        <v>2.0544066538310881</v>
      </c>
      <c r="J1843" s="1">
        <f t="shared" ref="J1843" si="1916">SUM(J1844,J1847,J1849,J1852,J1854,J1856,J1858,J1860)</f>
        <v>1.7167726659090161</v>
      </c>
      <c r="K1843" s="1">
        <f t="shared" ref="K1843:L1843" si="1917">SUM(K1844,K1847,K1849,K1852,K1854,K1856,K1858,K1860)</f>
        <v>1.9499318399358427</v>
      </c>
      <c r="L1843" s="1">
        <f t="shared" si="1917"/>
        <v>2.0717194709797391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0.65143678408734462</v>
      </c>
      <c r="G1844" s="1">
        <f t="shared" ref="G1844" si="1919">SUM(G1845:G1846)</f>
        <v>0.7186611239188041</v>
      </c>
      <c r="H1844" s="1">
        <f t="shared" ref="H1844" si="1920">SUM(H1845:H1846)</f>
        <v>0.67401789183197403</v>
      </c>
      <c r="I1844" s="1">
        <f t="shared" ref="I1844" si="1921">SUM(I1845:I1846)</f>
        <v>0.75453214244949596</v>
      </c>
      <c r="J1844" s="1">
        <f t="shared" ref="J1844" si="1922">SUM(J1845:J1846)</f>
        <v>0.80295730119056619</v>
      </c>
      <c r="K1844" s="1">
        <f t="shared" ref="K1844:L1844" si="1923">SUM(K1845:K1846)</f>
        <v>1.0158266668797007</v>
      </c>
      <c r="L1844" s="1">
        <f t="shared" si="1923"/>
        <v>1.1958419880251121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0.43805381100900881</v>
      </c>
      <c r="G1845" s="1" cm="1">
        <f t="array" ref="G1845">SUMPRODUCT(([1]OUT_FinalEnergyCons!$B$4:$B$10000="var_cap")*1,(ISNUMBER(SEARCH("RH*-WHELCBR",[1]OUT_FinalEnergyCons!$A$4:$A$10000)))*1,[1]OUT_FinalEnergyCons!E$4:E$10000)</f>
        <v>0.47226492076174675</v>
      </c>
      <c r="H1845" s="1" cm="1">
        <f t="array" ref="H1845">SUMPRODUCT(([1]OUT_FinalEnergyCons!$B$4:$B$10000="var_cap")*1,(ISNUMBER(SEARCH("RH*-WHELCBR",[1]OUT_FinalEnergyCons!$A$4:$A$10000)))*1,[1]OUT_FinalEnergyCons!F$4:F$10000)</f>
        <v>0.34825311645012907</v>
      </c>
      <c r="I1845" s="1" cm="1">
        <f t="array" ref="I1845">SUMPRODUCT(([1]OUT_FinalEnergyCons!$B$4:$B$10000="var_cap")*1,(ISNUMBER(SEARCH("RH*-WHELCBR",[1]OUT_FinalEnergyCons!$A$4:$A$10000)))*1,[1]OUT_FinalEnergyCons!G$4:G$10000)</f>
        <v>0.25497296554436588</v>
      </c>
      <c r="J1845" s="1" cm="1">
        <f t="array" ref="J1845">SUMPRODUCT(([2]OUT_FinalEnergyCons!$B$4:$B$10000="var_cap")*1,(ISNUMBER(SEARCH("RH*-WHELCBR",[2]OUT_FinalEnergyCons!$A$4:$A$10000)))*1,[2]OUT_FinalEnergyCons!H$4:H$10000)</f>
        <v>0.13057668408902731</v>
      </c>
      <c r="K1845" s="1" cm="1">
        <f t="array" ref="K1845">SUMPRODUCT(([2]OUT_FinalEnergyCons!$B$4:$B$10000="var_cap")*1,(ISNUMBER(SEARCH("RH*-WHELCBR",[2]OUT_FinalEnergyCons!$A$4:$A$10000)))*1,[2]OUT_FinalEnergyCons!I$4:I$10000)</f>
        <v>0.15318023074736523</v>
      </c>
      <c r="L1845" s="1" cm="1">
        <f t="array" ref="L1845">SUMPRODUCT(([2]OUT_FinalEnergyCons!$B$4:$B$10000="var_cap")*1,(ISNUMBER(SEARCH("RH*-WHELCBR",[2]OUT_FinalEnergyCons!$A$4:$A$10000)))*1,[2]OUT_FinalEnergyCons!J$4:J$10000)</f>
        <v>0.13326525219646462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0.21338297307833579</v>
      </c>
      <c r="G1846" s="1" cm="1">
        <f t="array" ref="G1846">SUMPRODUCT(([1]OUT_FinalEnergyCons!$B$4:$B$10000="var_cap")*1,ISNUMBER(SEARCH("RH*-WHELCHP",[1]OUT_FinalEnergyCons!$A$4:$A$10000))*1,[1]OUT_FinalEnergyCons!E$4:E$10000)</f>
        <v>0.24639620315705729</v>
      </c>
      <c r="H1846" s="1" cm="1">
        <f t="array" ref="H1846">SUMPRODUCT(([1]OUT_FinalEnergyCons!$B$4:$B$10000="var_cap")*1,ISNUMBER(SEARCH("RH*-WHELCHP",[1]OUT_FinalEnergyCons!$A$4:$A$10000))*1,[1]OUT_FinalEnergyCons!F$4:F$10000)</f>
        <v>0.32576477538184495</v>
      </c>
      <c r="I1846" s="1" cm="1">
        <f t="array" ref="I1846">SUMPRODUCT(([1]OUT_FinalEnergyCons!$B$4:$B$10000="var_cap")*1,ISNUMBER(SEARCH("RH*-WHELCHP",[1]OUT_FinalEnergyCons!$A$4:$A$10000))*1,[1]OUT_FinalEnergyCons!G$4:G$10000)</f>
        <v>0.49955917690513002</v>
      </c>
      <c r="J1846" s="1" cm="1">
        <f t="array" ref="J1846">SUMPRODUCT(([2]OUT_FinalEnergyCons!$B$4:$B$10000="var_cap")*1,ISNUMBER(SEARCH("RH*-WHELCHP",[2]OUT_FinalEnergyCons!$A$4:$A$10000))*1,[2]OUT_FinalEnergyCons!H$4:H$10000)</f>
        <v>0.67238061710153885</v>
      </c>
      <c r="K1846" s="1" cm="1">
        <f t="array" ref="K1846">SUMPRODUCT(([2]OUT_FinalEnergyCons!$B$4:$B$10000="var_cap")*1,ISNUMBER(SEARCH("RH*-WHELCHP",[2]OUT_FinalEnergyCons!$A$4:$A$10000))*1,[2]OUT_FinalEnergyCons!I$4:I$10000)</f>
        <v>0.86264643613233549</v>
      </c>
      <c r="L1846" s="1" cm="1">
        <f t="array" ref="L1846">SUMPRODUCT(([2]OUT_FinalEnergyCons!$B$4:$B$10000="var_cap")*1,ISNUMBER(SEARCH("RH*-WHELCHP",[2]OUT_FinalEnergyCons!$A$4:$A$10000))*1,[2]OUT_FinalEnergyCons!J$4:J$10000)</f>
        <v>1.0625767358286475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0.47722932399319301</v>
      </c>
      <c r="H1847" s="1">
        <f t="shared" ref="H1847" si="1928">H1848</f>
        <v>0.35136389197531193</v>
      </c>
      <c r="I1847" s="1">
        <f t="shared" ref="I1847" si="1929">I1848</f>
        <v>0.22652625532743143</v>
      </c>
      <c r="J1847" s="1">
        <f t="shared" ref="J1847" si="1930">J1848</f>
        <v>0.10570885722848988</v>
      </c>
      <c r="K1847" s="1">
        <f t="shared" ref="K1847:L1847" si="1931">K1848</f>
        <v>5.8595581661134571E-2</v>
      </c>
      <c r="L1847" s="1">
        <f t="shared" si="1931"/>
        <v>1.36091464478908E-2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0.47722932399319301</v>
      </c>
      <c r="H1848" s="1" cm="1">
        <f t="array" ref="H1848">SUMPRODUCT(([1]OUT_FinalEnergyCons!$B$4:$B$10000="var_cap")*1, (ISNUMBER(SEARCH("RH*-WHLFOBR",[1]OUT_FinalEnergyCons!$A$4:$A$10000)))*1,[1]OUT_FinalEnergyCons!F$4:F$10000)</f>
        <v>0.35136389197531193</v>
      </c>
      <c r="I1848" s="1" cm="1">
        <f t="array" ref="I1848">SUMPRODUCT(([1]OUT_FinalEnergyCons!$B$4:$B$10000="var_cap")*1, (ISNUMBER(SEARCH("RH*-WHLFOBR",[1]OUT_FinalEnergyCons!$A$4:$A$10000)))*1,[1]OUT_FinalEnergyCons!G$4:G$10000)</f>
        <v>0.22652625532743143</v>
      </c>
      <c r="J1848" s="1" cm="1">
        <f t="array" ref="J1848">SUMPRODUCT(([2]OUT_FinalEnergyCons!$B$4:$B$10000="var_cap")*1, (ISNUMBER(SEARCH("RH*-WHLFOBR",[2]OUT_FinalEnergyCons!$A$4:$A$10000)))*1,[2]OUT_FinalEnergyCons!H$4:H$10000)</f>
        <v>0.10570885722848988</v>
      </c>
      <c r="K1848" s="1" cm="1">
        <f t="array" ref="K1848">SUMPRODUCT(([2]OUT_FinalEnergyCons!$B$4:$B$10000="var_cap")*1, (ISNUMBER(SEARCH("RH*-WHLFOBR",[2]OUT_FinalEnergyCons!$A$4:$A$10000)))*1,[2]OUT_FinalEnergyCons!I$4:I$10000)</f>
        <v>5.8595581661134571E-2</v>
      </c>
      <c r="L1848" s="1" cm="1">
        <f t="array" ref="L1848">SUMPRODUCT(([2]OUT_FinalEnergyCons!$B$4:$B$10000="var_cap")*1, (ISNUMBER(SEARCH("RH*-WHLFOBR",[2]OUT_FinalEnergyCons!$A$4:$A$10000)))*1,[2]OUT_FinalEnergyCons!J$4:J$10000)</f>
        <v>1.36091464478908E-2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0.43598402343201903</v>
      </c>
      <c r="H1849" s="1">
        <f t="shared" ref="H1849" si="1935">SUM(H1850:H1851)</f>
        <v>0.50863752492761627</v>
      </c>
      <c r="I1849" s="1">
        <f t="shared" ref="I1849" si="1936">SUM(I1850:I1851)</f>
        <v>0.65098301232496669</v>
      </c>
      <c r="J1849" s="1">
        <f t="shared" ref="J1849" si="1937">SUM(J1850:J1851)</f>
        <v>0.47714937591539597</v>
      </c>
      <c r="K1849" s="1">
        <f t="shared" ref="K1849:L1849" si="1938">SUM(K1850:K1851)</f>
        <v>0.51225380725246383</v>
      </c>
      <c r="L1849" s="1">
        <f t="shared" si="1938"/>
        <v>0.52077278557278006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0.43597688599444984</v>
      </c>
      <c r="H1850" s="1" cm="1">
        <f t="array" ref="H1850">SUMPRODUCT(([1]OUT_FinalEnergyCons!$B$4:$B$10000="var_cap")*1, (ISNUMBER(SEARCH("RH*-WHNGABR",[1]OUT_FinalEnergyCons!$A$4:$A$10000)))*1,[1]OUT_FinalEnergyCons!F$4:F$10000)</f>
        <v>0.43561150923411529</v>
      </c>
      <c r="I1850" s="1" cm="1">
        <f t="array" ref="I1850">SUMPRODUCT(([1]OUT_FinalEnergyCons!$B$4:$B$10000="var_cap")*1, (ISNUMBER(SEARCH("RH*-WHNGABR",[1]OUT_FinalEnergyCons!$A$4:$A$10000)))*1,[1]OUT_FinalEnergyCons!G$4:G$10000)</f>
        <v>0.43409237162383379</v>
      </c>
      <c r="J1850" s="1" cm="1">
        <f t="array" ref="J1850">SUMPRODUCT(([2]OUT_FinalEnergyCons!$B$4:$B$10000="var_cap")*1, (ISNUMBER(SEARCH("RH*-WHNGABR",[2]OUT_FinalEnergyCons!$A$4:$A$10000)))*1,[2]OUT_FinalEnergyCons!H$4:H$10000)</f>
        <v>0.16501793293865305</v>
      </c>
      <c r="K1850" s="1" cm="1">
        <f t="array" ref="K1850">SUMPRODUCT(([2]OUT_FinalEnergyCons!$B$4:$B$10000="var_cap")*1, (ISNUMBER(SEARCH("RH*-WHNGABR",[2]OUT_FinalEnergyCons!$A$4:$A$10000)))*1,[2]OUT_FinalEnergyCons!I$4:I$10000)</f>
        <v>0.1038059195743796</v>
      </c>
      <c r="L1850" s="1" cm="1">
        <f t="array" ref="L1850">SUMPRODUCT(([2]OUT_FinalEnergyCons!$B$4:$B$10000="var_cap")*1, (ISNUMBER(SEARCH("RH*-WHNGABR",[2]OUT_FinalEnergyCons!$A$4:$A$10000)))*1,[2]OUT_FinalEnergyCons!J$4:J$10000)</f>
        <v>5.9602630786972158E-2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7.1374375691725684E-6</v>
      </c>
      <c r="H1851" s="1" cm="1">
        <f t="array" ref="H1851">SUMPRODUCT(([1]OUT_FinalEnergyCons!$B$4:$B$10000="var_cap")*1,ISNUMBER(SEARCH("RH*-WHngahp",[1]OUT_FinalEnergyCons!$A$4:$A$10000))*1,[1]OUT_FinalEnergyCons!F$4:F$10000)</f>
        <v>7.302601569350102E-2</v>
      </c>
      <c r="I1851" s="1" cm="1">
        <f t="array" ref="I1851">SUMPRODUCT(([1]OUT_FinalEnergyCons!$B$4:$B$10000="var_cap")*1,ISNUMBER(SEARCH("RH*-WHngahp",[1]OUT_FinalEnergyCons!$A$4:$A$10000))*1,[1]OUT_FinalEnergyCons!G$4:G$10000)</f>
        <v>0.21689064070113293</v>
      </c>
      <c r="J1851" s="1" cm="1">
        <f t="array" ref="J1851">SUMPRODUCT(([2]OUT_FinalEnergyCons!$B$4:$B$10000="var_cap")*1,ISNUMBER(SEARCH("RH*-WHngahp",[2]OUT_FinalEnergyCons!$A$4:$A$10000))*1,[2]OUT_FinalEnergyCons!H$4:H$10000)</f>
        <v>0.31213144297674295</v>
      </c>
      <c r="K1851" s="1" cm="1">
        <f t="array" ref="K1851">SUMPRODUCT(([2]OUT_FinalEnergyCons!$B$4:$B$10000="var_cap")*1,ISNUMBER(SEARCH("RH*-WHngahp",[2]OUT_FinalEnergyCons!$A$4:$A$10000))*1,[2]OUT_FinalEnergyCons!I$4:I$10000)</f>
        <v>0.40844788767808426</v>
      </c>
      <c r="L1851" s="1" cm="1">
        <f t="array" ref="L1851">SUMPRODUCT(([2]OUT_FinalEnergyCons!$B$4:$B$10000="var_cap")*1,ISNUMBER(SEARCH("RH*-WHngahp",[2]OUT_FinalEnergyCons!$A$4:$A$10000))*1,[2]OUT_FinalEnergyCons!J$4:J$10000)</f>
        <v>0.46117015478580792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4.07353379435757E-2</v>
      </c>
      <c r="H1854" s="1">
        <f t="shared" ref="H1854" si="1950">H1855</f>
        <v>7.9366798973991071E-2</v>
      </c>
      <c r="I1854" s="1">
        <f t="shared" ref="I1854" si="1951">I1855</f>
        <v>7.999555582088011E-2</v>
      </c>
      <c r="J1854" s="1">
        <f t="shared" ref="J1854" si="1952">J1855</f>
        <v>7.4368625838704849E-2</v>
      </c>
      <c r="K1854" s="1">
        <f t="shared" ref="K1854:L1854" si="1953">K1855</f>
        <v>7.246934652241506E-2</v>
      </c>
      <c r="L1854" s="1">
        <f t="shared" si="1953"/>
        <v>5.4765471905281415E-2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4.07353379435757E-2</v>
      </c>
      <c r="H1855" s="1" cm="1">
        <f t="array" ref="H1855">SUMPRODUCT(([1]OUT_FinalEnergyCons!$B$4:$B$10000="var_cap")*1, (ISNUMBER(SEARCH("RH*-WHWODBR",[1]OUT_FinalEnergyCons!$A$4:$A$10000)))*1,[1]OUT_FinalEnergyCons!F$4:F$10000)</f>
        <v>7.9366798973991071E-2</v>
      </c>
      <c r="I1855" s="1" cm="1">
        <f t="array" ref="I1855">SUMPRODUCT(([1]OUT_FinalEnergyCons!$B$4:$B$10000="var_cap")*1, (ISNUMBER(SEARCH("RH*-WHWODBR",[1]OUT_FinalEnergyCons!$A$4:$A$10000)))*1,[1]OUT_FinalEnergyCons!G$4:G$10000)</f>
        <v>7.999555582088011E-2</v>
      </c>
      <c r="J1855" s="1" cm="1">
        <f t="array" ref="J1855">SUMPRODUCT(([2]OUT_FinalEnergyCons!$B$4:$B$10000="var_cap")*1, (ISNUMBER(SEARCH("RH*-WHWODBR",[2]OUT_FinalEnergyCons!$A$4:$A$10000)))*1,[2]OUT_FinalEnergyCons!H$4:H$10000)</f>
        <v>7.4368625838704849E-2</v>
      </c>
      <c r="K1855" s="1" cm="1">
        <f t="array" ref="K1855">SUMPRODUCT(([2]OUT_FinalEnergyCons!$B$4:$B$10000="var_cap")*1, (ISNUMBER(SEARCH("RH*-WHWODBR",[2]OUT_FinalEnergyCons!$A$4:$A$10000)))*1,[2]OUT_FinalEnergyCons!I$4:I$10000)</f>
        <v>7.246934652241506E-2</v>
      </c>
      <c r="L1855" s="1" cm="1">
        <f t="array" ref="L1855">SUMPRODUCT(([2]OUT_FinalEnergyCons!$B$4:$B$10000="var_cap")*1, (ISNUMBER(SEARCH("RH*-WHWODBR",[2]OUT_FinalEnergyCons!$A$4:$A$10000)))*1,[2]OUT_FinalEnergyCons!J$4:J$10000)</f>
        <v>5.4765471905281415E-2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1.3295010748235789E-2</v>
      </c>
      <c r="H1856" s="1">
        <f t="shared" ref="H1856" si="1957">H1857</f>
        <v>9.7550191575930291E-3</v>
      </c>
      <c r="I1856" s="1">
        <f t="shared" ref="I1856" si="1958">I1857</f>
        <v>9.8012393293849514E-3</v>
      </c>
      <c r="J1856" s="1">
        <f t="shared" ref="J1856" si="1959">J1857</f>
        <v>8.0058056517159221E-3</v>
      </c>
      <c r="K1856" s="1">
        <f t="shared" ref="K1856:L1856" si="1960">K1857</f>
        <v>9.1964387586572164E-3</v>
      </c>
      <c r="L1856" s="1">
        <f t="shared" si="1960"/>
        <v>9.4290251340536438E-3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1.3295010748235789E-2</v>
      </c>
      <c r="H1857" s="1" cm="1">
        <f t="array" ref="H1857">SUMPRODUCT(([1]OUT_FinalEnergyCons!$B$4:$B$10000="var_cap")*1, (ISNUMBER(SEARCH("RH*-WHPLTBR",[1]OUT_FinalEnergyCons!$A$4:$A$10000)))*1,[1]OUT_FinalEnergyCons!F$4:F$10000)</f>
        <v>9.7550191575930291E-3</v>
      </c>
      <c r="I1857" s="1" cm="1">
        <f t="array" ref="I1857">SUMPRODUCT(([1]OUT_FinalEnergyCons!$B$4:$B$10000="var_cap")*1, (ISNUMBER(SEARCH("RH*-WHPLTBR",[1]OUT_FinalEnergyCons!$A$4:$A$10000)))*1,[1]OUT_FinalEnergyCons!G$4:G$10000)</f>
        <v>9.8012393293849514E-3</v>
      </c>
      <c r="J1857" s="1" cm="1">
        <f t="array" ref="J1857">SUMPRODUCT(([2]OUT_FinalEnergyCons!$B$4:$B$10000="var_cap")*1, (ISNUMBER(SEARCH("RH*-WHPLTBR",[2]OUT_FinalEnergyCons!$A$4:$A$10000)))*1,[2]OUT_FinalEnergyCons!H$4:H$10000)</f>
        <v>8.0058056517159221E-3</v>
      </c>
      <c r="K1857" s="1" cm="1">
        <f t="array" ref="K1857">SUMPRODUCT(([2]OUT_FinalEnergyCons!$B$4:$B$10000="var_cap")*1, (ISNUMBER(SEARCH("RH*-WHPLTBR",[2]OUT_FinalEnergyCons!$A$4:$A$10000)))*1,[2]OUT_FinalEnergyCons!I$4:I$10000)</f>
        <v>9.1964387586572164E-3</v>
      </c>
      <c r="L1857" s="1" cm="1">
        <f t="array" ref="L1857">SUMPRODUCT(([2]OUT_FinalEnergyCons!$B$4:$B$10000="var_cap")*1, (ISNUMBER(SEARCH("RH*-WHPLTBR",[2]OUT_FinalEnergyCons!$A$4:$A$10000)))*1,[2]OUT_FinalEnergyCons!J$4:J$10000)</f>
        <v>9.4290251340536438E-3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0.33248107919376657</v>
      </c>
      <c r="H1858" s="1">
        <f t="shared" ref="H1858" si="1964">H1859</f>
        <v>0.33248576007547376</v>
      </c>
      <c r="I1858" s="1">
        <f t="shared" ref="I1858" si="1965">I1859</f>
        <v>0.33256844857892914</v>
      </c>
      <c r="J1858" s="1">
        <f t="shared" ref="J1858" si="1966">J1859</f>
        <v>0.24858270008414338</v>
      </c>
      <c r="K1858" s="1">
        <f t="shared" ref="K1858:L1858" si="1967">K1859</f>
        <v>0.2815899988614714</v>
      </c>
      <c r="L1858" s="1">
        <f t="shared" si="1967"/>
        <v>0.27730105389462084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0.33248107919376657</v>
      </c>
      <c r="H1859" s="1" cm="1">
        <f t="array" ref="H1859">SUMPRODUCT(([1]OUT_FinalEnergyCons!$B$4:$B$10000="var_cap")*1, (ISNUMBER(SEARCH("RH*-WHSOLBR",[1]OUT_FinalEnergyCons!$A$4:$A$10000)))*1,[1]OUT_FinalEnergyCons!F$4:F$10000)</f>
        <v>0.33248576007547376</v>
      </c>
      <c r="I1859" s="1" cm="1">
        <f t="array" ref="I1859">SUMPRODUCT(([1]OUT_FinalEnergyCons!$B$4:$B$10000="var_cap")*1, (ISNUMBER(SEARCH("RH*-WHSOLBR",[1]OUT_FinalEnergyCons!$A$4:$A$10000)))*1,[1]OUT_FinalEnergyCons!G$4:G$10000)</f>
        <v>0.33256844857892914</v>
      </c>
      <c r="J1859" s="1" cm="1">
        <f t="array" ref="J1859">SUMPRODUCT(([2]OUT_FinalEnergyCons!$B$4:$B$10000="var_cap")*1, (ISNUMBER(SEARCH("RH*-WHSOLBR",[2]OUT_FinalEnergyCons!$A$4:$A$10000)))*1,[2]OUT_FinalEnergyCons!H$4:H$10000)</f>
        <v>0.24858270008414338</v>
      </c>
      <c r="K1859" s="1" cm="1">
        <f t="array" ref="K1859">SUMPRODUCT(([2]OUT_FinalEnergyCons!$B$4:$B$10000="var_cap")*1, (ISNUMBER(SEARCH("RH*-WHSOLBR",[2]OUT_FinalEnergyCons!$A$4:$A$10000)))*1,[2]OUT_FinalEnergyCons!I$4:I$10000)</f>
        <v>0.2815899988614714</v>
      </c>
      <c r="L1859" s="1" cm="1">
        <f t="array" ref="L1859">SUMPRODUCT(([2]OUT_FinalEnergyCons!$B$4:$B$10000="var_cap")*1, (ISNUMBER(SEARCH("RH*-WHSOLBR",[2]OUT_FinalEnergyCons!$A$4:$A$10000)))*1,[2]OUT_FinalEnergyCons!J$4:J$10000)</f>
        <v>0.27730105389462084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3.6135243050045958</v>
      </c>
      <c r="G1862" s="17">
        <f t="shared" ref="G1862:K1862" si="1976">SUM(G1863,G1866,G1869,G1873,G1875,G1877,G1879,G1881,G1883)</f>
        <v>4.2017480966580107</v>
      </c>
      <c r="H1862" s="17">
        <f t="shared" si="1976"/>
        <v>4.0051673406177528</v>
      </c>
      <c r="I1862" s="17">
        <f t="shared" si="1976"/>
        <v>4.3151781392219313</v>
      </c>
      <c r="J1862" s="17">
        <f t="shared" si="1976"/>
        <v>4.2693792720952004</v>
      </c>
      <c r="K1862" s="17">
        <f t="shared" si="1976"/>
        <v>3.8114229237345838</v>
      </c>
      <c r="L1862" s="17">
        <f t="shared" ref="L1862" si="1977">SUM(L1863,L1866,L1869,L1873,L1875,L1877,L1879,L1881,L1883)</f>
        <v>3.6249257039269631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0.83218389000299775</v>
      </c>
      <c r="H1863" s="18">
        <f t="shared" si="1978"/>
        <v>0.91121193890880781</v>
      </c>
      <c r="I1863" s="18">
        <f t="shared" si="1978"/>
        <v>1.3591928399607265</v>
      </c>
      <c r="J1863" s="18">
        <f t="shared" si="1978"/>
        <v>1.7977688213073526</v>
      </c>
      <c r="K1863" s="18">
        <f t="shared" si="1978"/>
        <v>1.6827660656023511</v>
      </c>
      <c r="L1863" s="18">
        <f t="shared" ref="L1863" si="1979">SUM(L1864:L1865)</f>
        <v>1.931096968761989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0.75228738902036107</v>
      </c>
      <c r="H1864" s="1" cm="1">
        <f t="array" ref="H1864">SUMPRODUCT(([1]OUT_FinalEnergyCons!$B$4:$B$10000="Var_cap")*1,  (ISNUMBER(SEARCH("ITOT-SWHELCBR",[1]OUT_FinalEnergyCons!$A$4:$A$10000)))*1,[1]OUT_FinalEnergyCons!F$4:F$10000)</f>
        <v>0.76673073157571625</v>
      </c>
      <c r="I1864" s="1" cm="1">
        <f t="array" ref="I1864">SUMPRODUCT(([1]OUT_FinalEnergyCons!$B$4:$B$10000="Var_cap")*1,  (ISNUMBER(SEARCH("ITOT-SWHELCBR",[1]OUT_FinalEnergyCons!$A$4:$A$10000)))*1,[1]OUT_FinalEnergyCons!G$4:G$10000)</f>
        <v>1.0242666083314971</v>
      </c>
      <c r="J1864" s="1" cm="1">
        <f t="array" ref="J1864">SUMPRODUCT(([2]OUT_FinalEnergyCons!$B$4:$B$10000="Var_cap")*1,  (ISNUMBER(SEARCH("ITOT-SWHELCBR",[2]OUT_FinalEnergyCons!$A$4:$A$10000)))*1,[2]OUT_FinalEnergyCons!H$4:H$10000)</f>
        <v>1.3429637825410665</v>
      </c>
      <c r="K1864" s="1" cm="1">
        <f t="array" ref="K1864">SUMPRODUCT(([2]OUT_FinalEnergyCons!$B$4:$B$10000="Var_cap")*1,  (ISNUMBER(SEARCH("ITOT-SWHELCBR",[2]OUT_FinalEnergyCons!$A$4:$A$10000)))*1,[2]OUT_FinalEnergyCons!I$4:I$10000)</f>
        <v>1.1376753453268049</v>
      </c>
      <c r="L1864" s="1" cm="1">
        <f t="array" ref="L1864">SUMPRODUCT(([2]OUT_FinalEnergyCons!$B$4:$B$10000="Var_cap")*1,  (ISNUMBER(SEARCH("ITOT-SWHELCBR",[2]OUT_FinalEnergyCons!$A$4:$A$10000)))*1,[2]OUT_FinalEnergyCons!J$4:J$10000)</f>
        <v>1.2160566711752283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7.9896500982636717E-2</v>
      </c>
      <c r="H1865" s="1" cm="1">
        <f t="array" ref="H1865">SUMPRODUCT(([1]OUT_FinalEnergyCons!$B$4:$B$10000="Var_cap")*1,  (ISNUMBER(SEARCH("ITOT-SWHELCHP",[1]OUT_FinalEnergyCons!$A$4:$A$10000)))*1,[1]OUT_FinalEnergyCons!F$4:F$10000)</f>
        <v>0.14448120733309161</v>
      </c>
      <c r="I1865" s="1" cm="1">
        <f t="array" ref="I1865">SUMPRODUCT(([1]OUT_FinalEnergyCons!$B$4:$B$10000="Var_cap")*1,  (ISNUMBER(SEARCH("ITOT-SWHELCHP",[1]OUT_FinalEnergyCons!$A$4:$A$10000)))*1,[1]OUT_FinalEnergyCons!G$4:G$10000)</f>
        <v>0.33492623162922935</v>
      </c>
      <c r="J1865" s="1" cm="1">
        <f t="array" ref="J1865">SUMPRODUCT(([2]OUT_FinalEnergyCons!$B$4:$B$10000="Var_cap")*1,  (ISNUMBER(SEARCH("ITOT-SWHELCHP",[2]OUT_FinalEnergyCons!$A$4:$A$10000)))*1,[2]OUT_FinalEnergyCons!H$4:H$10000)</f>
        <v>0.45480503876628608</v>
      </c>
      <c r="K1865" s="1" cm="1">
        <f t="array" ref="K1865">SUMPRODUCT(([2]OUT_FinalEnergyCons!$B$4:$B$10000="Var_cap")*1,  (ISNUMBER(SEARCH("ITOT-SWHELCHP",[2]OUT_FinalEnergyCons!$A$4:$A$10000)))*1,[2]OUT_FinalEnergyCons!I$4:I$10000)</f>
        <v>0.54509072027554617</v>
      </c>
      <c r="L1865" s="1" cm="1">
        <f t="array" ref="L1865">SUMPRODUCT(([2]OUT_FinalEnergyCons!$B$4:$B$10000="Var_cap")*1,  (ISNUMBER(SEARCH("ITOT-SWHELCHP",[2]OUT_FinalEnergyCons!$A$4:$A$10000)))*1,[2]OUT_FinalEnergyCons!J$4:J$10000)</f>
        <v>0.71504029758676058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0.49044499905522643</v>
      </c>
      <c r="G1866" s="18">
        <f t="shared" ref="G1866:K1866" si="1981">SUM(G1867:G1868)</f>
        <v>0.49850662376933336</v>
      </c>
      <c r="H1866" s="18">
        <f t="shared" si="1981"/>
        <v>0.39584908037687749</v>
      </c>
      <c r="I1866" s="18">
        <f t="shared" si="1981"/>
        <v>0.39024382543056135</v>
      </c>
      <c r="J1866" s="18">
        <f t="shared" si="1981"/>
        <v>0.27895977133704786</v>
      </c>
      <c r="K1866" s="18">
        <f t="shared" si="1981"/>
        <v>0.18088157167496974</v>
      </c>
      <c r="L1866" s="18">
        <f t="shared" ref="L1866" si="1982">SUM(L1867:L1868)</f>
        <v>1.4812083810402506E-2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0.38411922150184863</v>
      </c>
      <c r="H1867" s="1" cm="1">
        <f t="array" ref="H1867">SUMPRODUCT(([1]OUT_FinalEnergyCons!$B$4:$B$10000="Var_cap")*1,  (ISNUMBER(SEARCH("ITOT-SWHLFOBR",[1]OUT_FinalEnergyCons!$A$4:$A$10000)))*1,[1]OUT_FinalEnergyCons!F$4:F$10000)</f>
        <v>0.3927695108812071</v>
      </c>
      <c r="I1867" s="1" cm="1">
        <f t="array" ref="I1867">SUMPRODUCT(([1]OUT_FinalEnergyCons!$B$4:$B$10000="Var_cap")*1,  (ISNUMBER(SEARCH("ITOT-SWHLFOBR",[1]OUT_FinalEnergyCons!$A$4:$A$10000)))*1,[1]OUT_FinalEnergyCons!G$4:G$10000)</f>
        <v>0.38994178396841428</v>
      </c>
      <c r="J1867" s="1" cm="1">
        <f t="array" ref="J1867">SUMPRODUCT(([2]OUT_FinalEnergyCons!$B$4:$B$10000="Var_cap")*1,  (ISNUMBER(SEARCH("ITOT-SWHLFOBR",[2]OUT_FinalEnergyCons!$A$4:$A$10000)))*1,[2]OUT_FinalEnergyCons!H$4:H$10000)</f>
        <v>0.27835205456689133</v>
      </c>
      <c r="K1867" s="1" cm="1">
        <f t="array" ref="K1867">SUMPRODUCT(([2]OUT_FinalEnergyCons!$B$4:$B$10000="Var_cap")*1,  (ISNUMBER(SEARCH("ITOT-SWHLFOBR",[2]OUT_FinalEnergyCons!$A$4:$A$10000)))*1,[2]OUT_FinalEnergyCons!I$4:I$10000)</f>
        <v>0.18083910182747026</v>
      </c>
      <c r="L1867" s="1" cm="1">
        <f t="array" ref="L1867">SUMPRODUCT(([2]OUT_FinalEnergyCons!$B$4:$B$10000="Var_cap")*1,  (ISNUMBER(SEARCH("ITOT-SWHLFOBR",[2]OUT_FinalEnergyCons!$A$4:$A$10000)))*1,[2]OUT_FinalEnergyCons!J$4:J$10000)</f>
        <v>1.4812083810402506E-2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0.11410955942439441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0.11438740226748473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3.0795694956704117E-3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3.0204146214710126E-4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6.0771677015650921E-4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4.2469847499482E-5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1.5667014760120115</v>
      </c>
      <c r="H1869" s="18">
        <f t="shared" si="1985"/>
        <v>1.570606625309656</v>
      </c>
      <c r="I1869" s="18">
        <f t="shared" si="1985"/>
        <v>1.4087830258302763</v>
      </c>
      <c r="J1869" s="18">
        <f t="shared" si="1985"/>
        <v>0.56585728631556709</v>
      </c>
      <c r="K1869" s="18">
        <f t="shared" si="1985"/>
        <v>0.27168688212917869</v>
      </c>
      <c r="L1869" s="18">
        <f t="shared" ref="L1869" si="1986">SUM(L1870:L1871)</f>
        <v>7.3448739398773985E-2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1.5604062537101038</v>
      </c>
      <c r="H1870" s="1" cm="1">
        <f t="array" ref="H1870">SUMPRODUCT(([1]OUT_FinalEnergyCons!$B$4:$B$10000="Var_cap")*1,  (ISNUMBER(SEARCH("ITOT-SWHNGA*BR",[1]OUT_FinalEnergyCons!$A$4:$A$10000)))*1,[1]OUT_FinalEnergyCons!F$4:F$10000)</f>
        <v>1.5642058755060602</v>
      </c>
      <c r="I1870" s="1" cm="1">
        <f t="array" ref="I1870">SUMPRODUCT(([1]OUT_FinalEnergyCons!$B$4:$B$10000="Var_cap")*1,  (ISNUMBER(SEARCH("ITOT-SWHNGA*BR",[1]OUT_FinalEnergyCons!$A$4:$A$10000)))*1,[1]OUT_FinalEnergyCons!G$4:G$10000)</f>
        <v>1.4059536311602332</v>
      </c>
      <c r="J1870" s="1" cm="1">
        <f t="array" ref="J1870">SUMPRODUCT(([2]OUT_FinalEnergyCons!$B$4:$B$10000="Var_cap")*1,  (ISNUMBER(SEARCH("ITOT-SWHNGA*BR",[2]OUT_FinalEnergyCons!$A$4:$A$10000)))*1,[2]OUT_FinalEnergyCons!H$4:H$10000)</f>
        <v>0.56518437896117291</v>
      </c>
      <c r="K1870" s="1" cm="1">
        <f t="array" ref="K1870">SUMPRODUCT(([2]OUT_FinalEnergyCons!$B$4:$B$10000="Var_cap")*1,  (ISNUMBER(SEARCH("ITOT-SWHNGA*BR",[2]OUT_FinalEnergyCons!$A$4:$A$10000)))*1,[2]OUT_FinalEnergyCons!I$4:I$10000)</f>
        <v>0.27127255507964032</v>
      </c>
      <c r="L1870" s="1" cm="1">
        <f t="array" ref="L1870">SUMPRODUCT(([2]OUT_FinalEnergyCons!$B$4:$B$10000="Var_cap")*1,  (ISNUMBER(SEARCH("ITOT-SWHNGA*BR",[2]OUT_FinalEnergyCons!$A$4:$A$10000)))*1,[2]OUT_FinalEnergyCons!J$4:J$10000)</f>
        <v>7.3197950636087403E-2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6.2952223019076096E-3</v>
      </c>
      <c r="H1871" s="1" cm="1">
        <f t="array" ref="H1871">SUMPRODUCT(([1]OUT_FinalEnergyCons!$B$4:$B$10000="Var_cap")*1,  (ISNUMBER(SEARCH("ITOT-SWHNGAHP",[1]OUT_FinalEnergyCons!$A$4:$A$10000)))*1,[1]OUT_FinalEnergyCons!F$4:F$10000)</f>
        <v>6.4007498035958616E-3</v>
      </c>
      <c r="I1871" s="1" cm="1">
        <f t="array" ref="I1871">SUMPRODUCT(([1]OUT_FinalEnergyCons!$B$4:$B$10000="Var_cap")*1,  (ISNUMBER(SEARCH("ITOT-SWHNGAHP",[1]OUT_FinalEnergyCons!$A$4:$A$10000)))*1,[1]OUT_FinalEnergyCons!G$4:G$10000)</f>
        <v>2.8293946700429897E-3</v>
      </c>
      <c r="J1871" s="1" cm="1">
        <f t="array" ref="J1871">SUMPRODUCT(([2]OUT_FinalEnergyCons!$B$4:$B$10000="Var_cap")*1,  (ISNUMBER(SEARCH("ITOT-SWHNGAHP",[2]OUT_FinalEnergyCons!$A$4:$A$10000)))*1,[2]OUT_FinalEnergyCons!H$4:H$10000)</f>
        <v>6.7290735439414807E-4</v>
      </c>
      <c r="K1871" s="1" cm="1">
        <f t="array" ref="K1871">SUMPRODUCT(([2]OUT_FinalEnergyCons!$B$4:$B$10000="Var_cap")*1,  (ISNUMBER(SEARCH("ITOT-SWHNGAHP",[2]OUT_FinalEnergyCons!$A$4:$A$10000)))*1,[2]OUT_FinalEnergyCons!I$4:I$10000)</f>
        <v>4.1432704953837891E-4</v>
      </c>
      <c r="L1871" s="1" cm="1">
        <f t="array" ref="L1871">SUMPRODUCT(([2]OUT_FinalEnergyCons!$B$4:$B$10000="Var_cap")*1,  (ISNUMBER(SEARCH("ITOT-SWHNGAHP",[2]OUT_FinalEnergyCons!$A$4:$A$10000)))*1,[2]OUT_FinalEnergyCons!J$4:J$10000)</f>
        <v>2.507887626865876E-4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3.3023683413623328E-2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0.10378587035716326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0.13750134252111448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0.13420876649433386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0.16831946028912825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0.19966526474930008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0.19891397974106109</v>
      </c>
      <c r="H1873" s="1">
        <f t="shared" si="1987"/>
        <v>8.1722366375689415E-3</v>
      </c>
      <c r="I1873" s="1">
        <f t="shared" si="1987"/>
        <v>2.8005988363022372E-4</v>
      </c>
      <c r="J1873" s="1">
        <f t="shared" si="1987"/>
        <v>3.8362236345948486E-4</v>
      </c>
      <c r="K1873" s="1">
        <f t="shared" si="1987"/>
        <v>4.074673722555299E-5</v>
      </c>
      <c r="L1873" s="1">
        <f t="shared" si="1987"/>
        <v>4.673685333269912E-7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0.19891397974106109</v>
      </c>
      <c r="H1874" s="1" cm="1">
        <f t="array" ref="H1874">SUMPRODUCT(([1]OUT_FinalEnergyCons!$B$4:$B$10000="Var_cap")*1,  (ISNUMBER(SEARCH("ITOT-SWHCOA*BR",[1]OUT_FinalEnergyCons!$A$4:$A$10000)))*1,[1]OUT_FinalEnergyCons!F$4:F$10000)</f>
        <v>8.1722366375689415E-3</v>
      </c>
      <c r="I1874" s="1" cm="1">
        <f t="array" ref="I1874">SUMPRODUCT(([1]OUT_FinalEnergyCons!$B$4:$B$10000="Var_cap")*1,  (ISNUMBER(SEARCH("ITOT-SWHCOA*BR",[1]OUT_FinalEnergyCons!$A$4:$A$10000)))*1,[1]OUT_FinalEnergyCons!G$4:G$10000)</f>
        <v>2.8005988363022372E-4</v>
      </c>
      <c r="J1874" s="1" cm="1">
        <f t="array" ref="J1874">SUMPRODUCT(([2]OUT_FinalEnergyCons!$B$4:$B$10000="Var_cap")*1,  (ISNUMBER(SEARCH("ITOT-SWHCOA*BR",[2]OUT_FinalEnergyCons!$A$4:$A$10000)))*1,[2]OUT_FinalEnergyCons!H$4:H$10000)</f>
        <v>3.8362236345948486E-4</v>
      </c>
      <c r="K1874" s="1" cm="1">
        <f t="array" ref="K1874">SUMPRODUCT(([2]OUT_FinalEnergyCons!$B$4:$B$10000="Var_cap")*1,  (ISNUMBER(SEARCH("ITOT-SWHCOA*BR",[2]OUT_FinalEnergyCons!$A$4:$A$10000)))*1,[2]OUT_FinalEnergyCons!I$4:I$10000)</f>
        <v>4.074673722555299E-5</v>
      </c>
      <c r="L1874" s="1" cm="1">
        <f t="array" ref="L1874">SUMPRODUCT(([2]OUT_FinalEnergyCons!$B$4:$B$10000="Var_cap")*1,  (ISNUMBER(SEARCH("ITOT-SWHCOA*BR",[2]OUT_FinalEnergyCons!$A$4:$A$10000)))*1,[2]OUT_FinalEnergyCons!J$4:J$10000)</f>
        <v>4.673685333269912E-7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0.35240362414318316</v>
      </c>
      <c r="H1875" s="1">
        <f t="shared" si="1988"/>
        <v>0.36089397121930999</v>
      </c>
      <c r="I1875" s="1">
        <f t="shared" si="1988"/>
        <v>0.39678254150031977</v>
      </c>
      <c r="J1875" s="1">
        <f t="shared" si="1988"/>
        <v>0.43890563337913141</v>
      </c>
      <c r="K1875" s="1">
        <f t="shared" si="1988"/>
        <v>0.42132343265555477</v>
      </c>
      <c r="L1875" s="1">
        <f t="shared" si="1988"/>
        <v>0.48328744469414731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0.35240362414318316</v>
      </c>
      <c r="H1876" s="1" cm="1">
        <f t="array" ref="H1876">SUMPRODUCT(([1]OUT_FinalEnergyCons!$B$4:$B$10000="Var_cap")*1,  (ISNUMBER(SEARCH("ITOT-SWHWOD*BR",[1]OUT_FinalEnergyCons!$A$4:$A$10000)))*1,[1]OUT_FinalEnergyCons!F$4:F$10000)</f>
        <v>0.36089397121930999</v>
      </c>
      <c r="I1876" s="1" cm="1">
        <f t="array" ref="I1876">SUMPRODUCT(([1]OUT_FinalEnergyCons!$B$4:$B$10000="Var_cap")*1,  (ISNUMBER(SEARCH("ITOT-SWHWOD*BR",[1]OUT_FinalEnergyCons!$A$4:$A$10000)))*1,[1]OUT_FinalEnergyCons!G$4:G$10000)</f>
        <v>0.39678254150031977</v>
      </c>
      <c r="J1876" s="1" cm="1">
        <f t="array" ref="J1876">SUMPRODUCT(([2]OUT_FinalEnergyCons!$B$4:$B$10000="Var_cap")*1,  (ISNUMBER(SEARCH("ITOT-SWHWOD*BR",[2]OUT_FinalEnergyCons!$A$4:$A$10000)))*1,[2]OUT_FinalEnergyCons!H$4:H$10000)</f>
        <v>0.43890563337913141</v>
      </c>
      <c r="K1876" s="1" cm="1">
        <f t="array" ref="K1876">SUMPRODUCT(([2]OUT_FinalEnergyCons!$B$4:$B$10000="Var_cap")*1,  (ISNUMBER(SEARCH("ITOT-SWHWOD*BR",[2]OUT_FinalEnergyCons!$A$4:$A$10000)))*1,[2]OUT_FinalEnergyCons!I$4:I$10000)</f>
        <v>0.42132343265555477</v>
      </c>
      <c r="L1876" s="1" cm="1">
        <f t="array" ref="L1876">SUMPRODUCT(([2]OUT_FinalEnergyCons!$B$4:$B$10000="Var_cap")*1,  (ISNUMBER(SEARCH("ITOT-SWHWOD*BR",[2]OUT_FinalEnergyCons!$A$4:$A$10000)))*1,[2]OUT_FinalEnergyCons!J$4:J$10000)</f>
        <v>0.48328744469414731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4.0362078771685593E-2</v>
      </c>
      <c r="H1877" s="1">
        <f t="shared" si="1989"/>
        <v>4.2730081397943251E-2</v>
      </c>
      <c r="I1877" s="1">
        <f t="shared" si="1989"/>
        <v>4.4468930722632229E-2</v>
      </c>
      <c r="J1877" s="1">
        <f t="shared" si="1989"/>
        <v>4.1217463460750919E-2</v>
      </c>
      <c r="K1877" s="1">
        <f t="shared" si="1989"/>
        <v>4.3196108566722353E-2</v>
      </c>
      <c r="L1877" s="1">
        <f t="shared" si="1989"/>
        <v>4.2102176822085717E-2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4.0362078771685593E-2</v>
      </c>
      <c r="H1878" s="1" cm="1">
        <f t="array" ref="H1878">SUMPRODUCT(([1]OUT_FinalEnergyCons!$B$4:$B$10000="Var_cap")*1,  (ISNUMBER(SEARCH("ITOT-SWHPLT*BR",[1]OUT_FinalEnergyCons!$A$4:$A$10000)))*1,[1]OUT_FinalEnergyCons!F$4:F$10000)</f>
        <v>4.2730081397943251E-2</v>
      </c>
      <c r="I1878" s="1" cm="1">
        <f t="array" ref="I1878">SUMPRODUCT(([1]OUT_FinalEnergyCons!$B$4:$B$10000="Var_cap")*1,  (ISNUMBER(SEARCH("ITOT-SWHPLT*BR",[1]OUT_FinalEnergyCons!$A$4:$A$10000)))*1,[1]OUT_FinalEnergyCons!G$4:G$10000)</f>
        <v>4.4468930722632229E-2</v>
      </c>
      <c r="J1878" s="1" cm="1">
        <f t="array" ref="J1878">SUMPRODUCT(([2]OUT_FinalEnergyCons!$B$4:$B$10000="Var_cap")*1,  (ISNUMBER(SEARCH("ITOT-SWHPLT*BR",[2]OUT_FinalEnergyCons!$A$4:$A$10000)))*1,[2]OUT_FinalEnergyCons!H$4:H$10000)</f>
        <v>4.1217463460750919E-2</v>
      </c>
      <c r="K1878" s="1" cm="1">
        <f t="array" ref="K1878">SUMPRODUCT(([2]OUT_FinalEnergyCons!$B$4:$B$10000="Var_cap")*1,  (ISNUMBER(SEARCH("ITOT-SWHPLT*BR",[2]OUT_FinalEnergyCons!$A$4:$A$10000)))*1,[2]OUT_FinalEnergyCons!I$4:I$10000)</f>
        <v>4.3196108566722353E-2</v>
      </c>
      <c r="L1878" s="1" cm="1">
        <f t="array" ref="L1878">SUMPRODUCT(([2]OUT_FinalEnergyCons!$B$4:$B$10000="Var_cap")*1,  (ISNUMBER(SEARCH("ITOT-SWHPLT*BR",[2]OUT_FinalEnergyCons!$A$4:$A$10000)))*1,[2]OUT_FinalEnergyCons!J$4:J$10000)</f>
        <v>4.2102176822085717E-2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0.35972166923393006</v>
      </c>
      <c r="H1879" s="1">
        <f t="shared" si="1990"/>
        <v>0.3627477669035265</v>
      </c>
      <c r="I1879" s="1">
        <f t="shared" si="1990"/>
        <v>0.3624702228908267</v>
      </c>
      <c r="J1879" s="1">
        <f t="shared" si="1990"/>
        <v>0.33401948758815198</v>
      </c>
      <c r="K1879" s="1">
        <f t="shared" si="1990"/>
        <v>0.32565899644639545</v>
      </c>
      <c r="L1879" s="1">
        <f t="shared" si="1990"/>
        <v>0.2297465567747867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0.35972166923393006</v>
      </c>
      <c r="H1880" s="1" cm="1">
        <f t="array" ref="H1880">SUMPRODUCT(([1]OUT_FinalEnergyCons!$B$4:$B$10000="Var_cap")*1,  (ISNUMBER(SEARCH("ITOT-SWHWST*BR",[1]OUT_FinalEnergyCons!$A$4:$A$10000)))*1,[1]OUT_FinalEnergyCons!F$4:F$10000)</f>
        <v>0.3627477669035265</v>
      </c>
      <c r="I1880" s="1" cm="1">
        <f t="array" ref="I1880">SUMPRODUCT(([1]OUT_FinalEnergyCons!$B$4:$B$10000="Var_cap")*1,  (ISNUMBER(SEARCH("ITOT-SWHWST*BR",[1]OUT_FinalEnergyCons!$A$4:$A$10000)))*1,[1]OUT_FinalEnergyCons!G$4:G$10000)</f>
        <v>0.3624702228908267</v>
      </c>
      <c r="J1880" s="1" cm="1">
        <f t="array" ref="J1880">SUMPRODUCT(([2]OUT_FinalEnergyCons!$B$4:$B$10000="Var_cap")*1,  (ISNUMBER(SEARCH("ITOT-SWHWST*BR",[2]OUT_FinalEnergyCons!$A$4:$A$10000)))*1,[2]OUT_FinalEnergyCons!H$4:H$10000)</f>
        <v>0.33401948758815198</v>
      </c>
      <c r="K1880" s="1" cm="1">
        <f t="array" ref="K1880">SUMPRODUCT(([2]OUT_FinalEnergyCons!$B$4:$B$10000="Var_cap")*1,  (ISNUMBER(SEARCH("ITOT-SWHWST*BR",[2]OUT_FinalEnergyCons!$A$4:$A$10000)))*1,[2]OUT_FinalEnergyCons!I$4:I$10000)</f>
        <v>0.32565899644639545</v>
      </c>
      <c r="L1880" s="1" cm="1">
        <f t="array" ref="L1880">SUMPRODUCT(([2]OUT_FinalEnergyCons!$B$4:$B$10000="Var_cap")*1,  (ISNUMBER(SEARCH("ITOT-SWHWST*BR",[2]OUT_FinalEnergyCons!$A$4:$A$10000)))*1,[2]OUT_FinalEnergyCons!J$4:J$10000)</f>
        <v>0.2297465567747867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0.35295475498380796</v>
      </c>
      <c r="H1881" s="1">
        <f t="shared" si="1991"/>
        <v>0.35295563986406198</v>
      </c>
      <c r="I1881" s="1">
        <f t="shared" si="1991"/>
        <v>0.35295669300295796</v>
      </c>
      <c r="J1881" s="1">
        <f t="shared" si="1991"/>
        <v>0.16866241978012558</v>
      </c>
      <c r="K1881" s="1">
        <f t="shared" si="1991"/>
        <v>0.16865987607583799</v>
      </c>
      <c r="L1881" s="1">
        <f t="shared" si="1991"/>
        <v>0.16865761934604601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0.35295475498380796</v>
      </c>
      <c r="H1882" s="1" cm="1">
        <f t="array" ref="H1882">SUMPRODUCT(([1]OUT_FinalEnergyCons!$B$4:$B$10000="Var_cap")*1, (ISNUMBER(SEARCH("ITOT-SWHSOLBR",[1]OUT_FinalEnergyCons!$A$4:$A$10000)))*1,[1]OUT_FinalEnergyCons!F$4:F$10000)</f>
        <v>0.35295563986406198</v>
      </c>
      <c r="I1882" s="1" cm="1">
        <f t="array" ref="I1882">SUMPRODUCT(([1]OUT_FinalEnergyCons!$B$4:$B$10000="Var_cap")*1, (ISNUMBER(SEARCH("ITOT-SWHSOLBR",[1]OUT_FinalEnergyCons!$A$4:$A$10000)))*1,[1]OUT_FinalEnergyCons!G$4:G$10000)</f>
        <v>0.35295669300295796</v>
      </c>
      <c r="J1882" s="1" cm="1">
        <f t="array" ref="J1882">SUMPRODUCT(([2]OUT_FinalEnergyCons!$B$4:$B$10000="Var_cap")*1, (ISNUMBER(SEARCH("ITOT-SWHSOLBR",[2]OUT_FinalEnergyCons!$A$4:$A$10000)))*1,[2]OUT_FinalEnergyCons!H$4:H$10000)</f>
        <v>0.16866241978012558</v>
      </c>
      <c r="K1882" s="1" cm="1">
        <f t="array" ref="K1882">SUMPRODUCT(([2]OUT_FinalEnergyCons!$B$4:$B$10000="Var_cap")*1, (ISNUMBER(SEARCH("ITOT-SWHSOLBR",[2]OUT_FinalEnergyCons!$A$4:$A$10000)))*1,[2]OUT_FinalEnergyCons!I$4:I$10000)</f>
        <v>0.16865987607583799</v>
      </c>
      <c r="L1882" s="1" cm="1">
        <f t="array" ref="L1882">SUMPRODUCT(([2]OUT_FinalEnergyCons!$B$4:$B$10000="Var_cap")*1, (ISNUMBER(SEARCH("ITOT-SWHSOLBR",[2]OUT_FinalEnergyCons!$A$4:$A$10000)))*1,[2]OUT_FinalEnergyCons!J$4:J$10000)</f>
        <v>0.16865761934604601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0</v>
      </c>
      <c r="J1883" s="1">
        <f t="shared" si="1992"/>
        <v>0.64360476656361298</v>
      </c>
      <c r="K1883" s="1">
        <f t="shared" si="1992"/>
        <v>0.71720924384634832</v>
      </c>
      <c r="L1883" s="1">
        <f t="shared" si="1992"/>
        <v>0.68177364695019915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0.64360476656361298</v>
      </c>
      <c r="K1884" s="1" cm="1">
        <f t="array" ref="K1884">SUMPRODUCT(([2]OUT_FinalEnergyCons!$B$4:$B$10000="Var_cap")*1, (ISNUMBER(SEARCH("ITOT-SWHH2BR",[2]OUT_FinalEnergyCons!$A$4:$A$10000)))*1,[2]OUT_FinalEnergyCons!I$4:I$10000)</f>
        <v>0.71720924384634832</v>
      </c>
      <c r="L1884" s="1" cm="1">
        <f t="array" ref="L1884">SUMPRODUCT(([2]OUT_FinalEnergyCons!$B$4:$B$10000="Var_cap")*1, (ISNUMBER(SEARCH("ITOT-SWHH2BR",[2]OUT_FinalEnergyCons!$A$4:$A$10000)))*1,[2]OUT_FinalEnergyCons!J$4:J$10000)</f>
        <v>0.68177364695019915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6.1446799839116268</v>
      </c>
      <c r="G1885" s="17">
        <f t="shared" ref="G1885:K1885" si="1993">SUM(G1886,G1889,G1891,G1895,G1897,G1899,G1901)</f>
        <v>5.9017206401676399</v>
      </c>
      <c r="H1885" s="17">
        <f t="shared" si="1993"/>
        <v>5.6685198679802156</v>
      </c>
      <c r="I1885" s="17">
        <f t="shared" si="1993"/>
        <v>6.1621914730770904</v>
      </c>
      <c r="J1885" s="17">
        <f t="shared" si="1993"/>
        <v>4.4997600422257982</v>
      </c>
      <c r="K1885" s="17">
        <f t="shared" si="1993"/>
        <v>4.6352158745592789</v>
      </c>
      <c r="L1885" s="17">
        <f t="shared" ref="L1885" si="1994">SUM(L1886,L1889,L1891,L1895,L1897,L1899,L1901)</f>
        <v>4.2811659153438644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0.61570884020246319</v>
      </c>
      <c r="G1886" s="1">
        <f t="shared" ref="G1886:K1886" si="1995">SUM(G1887:G1888)</f>
        <v>0.51217596557686984</v>
      </c>
      <c r="H1886" s="1">
        <f t="shared" si="1995"/>
        <v>0.5039183831589481</v>
      </c>
      <c r="I1886" s="1">
        <f t="shared" si="1995"/>
        <v>0.67456292919835825</v>
      </c>
      <c r="J1886" s="1">
        <f t="shared" si="1995"/>
        <v>0.91853658973625951</v>
      </c>
      <c r="K1886" s="1">
        <f t="shared" si="1995"/>
        <v>1.2407520145336512</v>
      </c>
      <c r="L1886" s="1">
        <f t="shared" ref="L1886" si="1996">SUM(L1887:L1888)</f>
        <v>1.4694269001849367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0.18508487809019883</v>
      </c>
      <c r="G1887" s="1" cm="1">
        <f t="array" ref="G1887">SUMPRODUCT(([1]OUT_FinalEnergyCons!$B$4:$B$10000="Var_cap")*1, (ISNUMBER(SEARCH("SCOM-SHELCBR",[1]OUT_FinalEnergyCons!$A$4:$A$10000)))*1,[1]OUT_FinalEnergyCons!E$4:E$10000)</f>
        <v>8.1554873922687815E-2</v>
      </c>
      <c r="H1887" s="1" cm="1">
        <f t="array" ref="H1887">SUMPRODUCT(([1]OUT_FinalEnergyCons!$B$4:$B$10000="Var_cap")*1, (ISNUMBER(SEARCH("SCOM-SHELCBR",[1]OUT_FinalEnergyCons!$A$4:$A$10000)))*1,[1]OUT_FinalEnergyCons!F$4:F$10000)</f>
        <v>7.32616740861914E-2</v>
      </c>
      <c r="I1887" s="1" cm="1">
        <f t="array" ref="I1887">SUMPRODUCT(([1]OUT_FinalEnergyCons!$B$4:$B$10000="Var_cap")*1, (ISNUMBER(SEARCH("SCOM-SHELCBR",[1]OUT_FinalEnergyCons!$A$4:$A$10000)))*1,[1]OUT_FinalEnergyCons!G$4:G$10000)</f>
        <v>4.1944413715354539E-2</v>
      </c>
      <c r="J1887" s="1" cm="1">
        <f t="array" ref="J1887">SUMPRODUCT(([2]OUT_FinalEnergyCons!$B$4:$B$10000="Var_cap")*1, (ISNUMBER(SEARCH("SCOM-SHELCBR",[2]OUT_FinalEnergyCons!$A$4:$A$10000)))*1,[2]OUT_FinalEnergyCons!H$4:H$10000)</f>
        <v>2.6687071179883101E-2</v>
      </c>
      <c r="K1887" s="1" cm="1">
        <f t="array" ref="K1887">SUMPRODUCT(([2]OUT_FinalEnergyCons!$B$4:$B$10000="Var_cap")*1, (ISNUMBER(SEARCH("SCOM-SHELCBR",[2]OUT_FinalEnergyCons!$A$4:$A$10000)))*1,[2]OUT_FinalEnergyCons!I$4:I$10000)</f>
        <v>2.466665543938432E-2</v>
      </c>
      <c r="L1887" s="1" cm="1">
        <f t="array" ref="L1887">SUMPRODUCT(([2]OUT_FinalEnergyCons!$B$4:$B$10000="Var_cap")*1, (ISNUMBER(SEARCH("SCOM-SHELCBR",[2]OUT_FinalEnergyCons!$A$4:$A$10000)))*1,[2]OUT_FinalEnergyCons!J$4:J$10000)</f>
        <v>1.742933131968159E-2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0.43062396211226439</v>
      </c>
      <c r="G1888" s="1" cm="1">
        <f t="array" ref="G1888">SUMPRODUCT(([1]OUT_FinalEnergyCons!$B$4:$B$10000="Var_cap")*1, (ISNUMBER(SEARCH("SCOM-SHELCHP",[1]OUT_FinalEnergyCons!$A$4:$A$10000)))*1,[1]OUT_FinalEnergyCons!E$4:E$10000)</f>
        <v>0.43062109165418205</v>
      </c>
      <c r="H1888" s="1" cm="1">
        <f t="array" ref="H1888">SUMPRODUCT(([1]OUT_FinalEnergyCons!$B$4:$B$10000="Var_cap")*1, (ISNUMBER(SEARCH("SCOM-SHELCHP",[1]OUT_FinalEnergyCons!$A$4:$A$10000)))*1,[1]OUT_FinalEnergyCons!F$4:F$10000)</f>
        <v>0.43065670907275672</v>
      </c>
      <c r="I1888" s="1" cm="1">
        <f t="array" ref="I1888">SUMPRODUCT(([1]OUT_FinalEnergyCons!$B$4:$B$10000="Var_cap")*1, (ISNUMBER(SEARCH("SCOM-SHELCHP",[1]OUT_FinalEnergyCons!$A$4:$A$10000)))*1,[1]OUT_FinalEnergyCons!G$4:G$10000)</f>
        <v>0.63261851548300374</v>
      </c>
      <c r="J1888" s="1" cm="1">
        <f t="array" ref="J1888">SUMPRODUCT(([2]OUT_FinalEnergyCons!$B$4:$B$10000="Var_cap")*1, (ISNUMBER(SEARCH("SCOM-SHELCHP",[2]OUT_FinalEnergyCons!$A$4:$A$10000)))*1,[2]OUT_FinalEnergyCons!H$4:H$10000)</f>
        <v>0.8918495185563764</v>
      </c>
      <c r="K1888" s="1" cm="1">
        <f t="array" ref="K1888">SUMPRODUCT(([2]OUT_FinalEnergyCons!$B$4:$B$10000="Var_cap")*1, (ISNUMBER(SEARCH("SCOM-SHELCHP",[2]OUT_FinalEnergyCons!$A$4:$A$10000)))*1,[2]OUT_FinalEnergyCons!I$4:I$10000)</f>
        <v>1.2160853590942668</v>
      </c>
      <c r="L1888" s="1" cm="1">
        <f t="array" ref="L1888">SUMPRODUCT(([2]OUT_FinalEnergyCons!$B$4:$B$10000="Var_cap")*1, (ISNUMBER(SEARCH("SCOM-SHELCHP",[2]OUT_FinalEnergyCons!$A$4:$A$10000)))*1,[2]OUT_FinalEnergyCons!J$4:J$10000)</f>
        <v>1.4519975688652551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1.9286181872626562</v>
      </c>
      <c r="G1889" s="1">
        <f t="shared" ref="G1889:L1889" si="1999">G1890</f>
        <v>1.7632298083626252</v>
      </c>
      <c r="H1889" s="1">
        <f t="shared" si="1999"/>
        <v>1.739096190723606</v>
      </c>
      <c r="I1889" s="1">
        <f t="shared" si="1999"/>
        <v>1.7364734098863761</v>
      </c>
      <c r="J1889" s="1">
        <f t="shared" si="1999"/>
        <v>0.85282309694110581</v>
      </c>
      <c r="K1889" s="1">
        <f t="shared" si="1999"/>
        <v>0.43060914561943064</v>
      </c>
      <c r="L1889" s="1">
        <f t="shared" si="1999"/>
        <v>0.1759351574376618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1.9286181872626562</v>
      </c>
      <c r="G1890" s="1" cm="1">
        <f t="array" ref="G1890">SUMPRODUCT(([1]OUT_FinalEnergyCons!$B$4:$B$10000="Var_cap")*1,(ISNUMBER(SEARCH("SCOM-SHLFOBR",[1]OUT_FinalEnergyCons!$A$4:$A$10000)))*1,[1]OUT_FinalEnergyCons!E$4:E$10000)</f>
        <v>1.7632298083626252</v>
      </c>
      <c r="H1890" s="1" cm="1">
        <f t="array" ref="H1890">SUMPRODUCT(([1]OUT_FinalEnergyCons!$B$4:$B$10000="Var_cap")*1,(ISNUMBER(SEARCH("SCOM-SHLFOBR",[1]OUT_FinalEnergyCons!$A$4:$A$10000)))*1,[1]OUT_FinalEnergyCons!F$4:F$10000)</f>
        <v>1.739096190723606</v>
      </c>
      <c r="I1890" s="1" cm="1">
        <f t="array" ref="I1890">SUMPRODUCT(([1]OUT_FinalEnergyCons!$B$4:$B$10000="Var_cap")*1,(ISNUMBER(SEARCH("SCOM-SHLFOBR",[1]OUT_FinalEnergyCons!$A$4:$A$10000)))*1,[1]OUT_FinalEnergyCons!G$4:G$10000)</f>
        <v>1.7364734098863761</v>
      </c>
      <c r="J1890" s="1" cm="1">
        <f t="array" ref="J1890">SUMPRODUCT(([2]OUT_FinalEnergyCons!$B$4:$B$10000="Var_cap")*1,(ISNUMBER(SEARCH("SCOM-SHLFOBR",[2]OUT_FinalEnergyCons!$A$4:$A$10000)))*1,[2]OUT_FinalEnergyCons!H$4:H$10000)</f>
        <v>0.85282309694110581</v>
      </c>
      <c r="K1890" s="1" cm="1">
        <f t="array" ref="K1890">SUMPRODUCT(([2]OUT_FinalEnergyCons!$B$4:$B$10000="Var_cap")*1,(ISNUMBER(SEARCH("SCOM-SHLFOBR",[2]OUT_FinalEnergyCons!$A$4:$A$10000)))*1,[2]OUT_FinalEnergyCons!I$4:I$10000)</f>
        <v>0.43060914561943064</v>
      </c>
      <c r="L1890" s="1" cm="1">
        <f t="array" ref="L1890">SUMPRODUCT(([2]OUT_FinalEnergyCons!$B$4:$B$10000="Var_cap")*1,(ISNUMBER(SEARCH("SCOM-SHLFOBR",[2]OUT_FinalEnergyCons!$A$4:$A$10000)))*1,[2]OUT_FinalEnergyCons!J$4:J$10000)</f>
        <v>0.1759351574376618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2.8800494018162022</v>
      </c>
      <c r="G1891" s="1">
        <f t="shared" ref="G1891:K1891" si="2003">SUM(G1892:G1894)</f>
        <v>2.870227461918831</v>
      </c>
      <c r="H1891" s="1">
        <f t="shared" si="2003"/>
        <v>2.7450216028520646</v>
      </c>
      <c r="I1891" s="1">
        <f t="shared" si="2003"/>
        <v>3.070580044560431</v>
      </c>
      <c r="J1891" s="1">
        <f t="shared" si="2003"/>
        <v>1.8298579431996311</v>
      </c>
      <c r="K1891" s="1">
        <f t="shared" si="2003"/>
        <v>1.3888205355108596</v>
      </c>
      <c r="L1891" s="1">
        <f t="shared" ref="L1891" si="2004">SUM(L1892:L1894)</f>
        <v>1.1296465966645517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2.7746843991209991</v>
      </c>
      <c r="G1892" s="1" cm="1">
        <f t="array" ref="G1892">SUMPRODUCT(([1]OUT_FinalEnergyCons!$B$4:$B$10000="Var_cap")*1, (ISNUMBER(SEARCH("SCOM-SHNGABR",[1]OUT_FinalEnergyCons!$A$4:$A$10000)))*1,[1]OUT_FinalEnergyCons!E$4:E$10000)</f>
        <v>2.7634927996358405</v>
      </c>
      <c r="H1892" s="1" cm="1">
        <f t="array" ref="H1892">SUMPRODUCT(([1]OUT_FinalEnergyCons!$B$4:$B$10000="Var_cap")*1, (ISNUMBER(SEARCH("SCOM-SHNGABR",[1]OUT_FinalEnergyCons!$A$4:$A$10000)))*1,[1]OUT_FinalEnergyCons!F$4:F$10000)</f>
        <v>2.4548937160890181</v>
      </c>
      <c r="I1892" s="1" cm="1">
        <f t="array" ref="I1892">SUMPRODUCT(([1]OUT_FinalEnergyCons!$B$4:$B$10000="Var_cap")*1, (ISNUMBER(SEARCH("SCOM-SHNGABR",[1]OUT_FinalEnergyCons!$A$4:$A$10000)))*1,[1]OUT_FinalEnergyCons!G$4:G$10000)</f>
        <v>2.4530584458586695</v>
      </c>
      <c r="J1892" s="1" cm="1">
        <f t="array" ref="J1892">SUMPRODUCT(([2]OUT_FinalEnergyCons!$B$4:$B$10000="Var_cap")*1, (ISNUMBER(SEARCH("SCOM-SHNGABR",[2]OUT_FinalEnergyCons!$A$4:$A$10000)))*1,[2]OUT_FinalEnergyCons!H$4:H$10000)</f>
        <v>1.1440012834995359</v>
      </c>
      <c r="K1892" s="1" cm="1">
        <f t="array" ref="K1892">SUMPRODUCT(([2]OUT_FinalEnergyCons!$B$4:$B$10000="Var_cap")*1, (ISNUMBER(SEARCH("SCOM-SHNGABR",[2]OUT_FinalEnergyCons!$A$4:$A$10000)))*1,[2]OUT_FinalEnergyCons!I$4:I$10000)</f>
        <v>0.54640224388988179</v>
      </c>
      <c r="L1892" s="1" cm="1">
        <f t="array" ref="L1892">SUMPRODUCT(([2]OUT_FinalEnergyCons!$B$4:$B$10000="Var_cap")*1, (ISNUMBER(SEARCH("SCOM-SHNGABR",[2]OUT_FinalEnergyCons!$A$4:$A$10000)))*1,[2]OUT_FinalEnergyCons!J$4:J$10000)</f>
        <v>0.24495719414507072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7.2945082589676304E-6</v>
      </c>
      <c r="G1893" s="1" cm="1">
        <f t="array" ref="G1893">SUMPRODUCT(([1]OUT_FinalEnergyCons!$B$4:$B$10000="Var_cap")*1, (ISNUMBER(SEARCH("SCOM-SHngahp",[1]OUT_FinalEnergyCons!$A$4:$A$10000)))*1,[1]OUT_FinalEnergyCons!E$4:E$10000)</f>
        <v>1.1029641355939169E-3</v>
      </c>
      <c r="H1893" s="1" cm="1">
        <f t="array" ref="H1893">SUMPRODUCT(([1]OUT_FinalEnergyCons!$B$4:$B$10000="Var_cap")*1, (ISNUMBER(SEARCH("SCOM-SHngahp",[1]OUT_FinalEnergyCons!$A$4:$A$10000)))*1,[1]OUT_FinalEnergyCons!F$4:F$10000)</f>
        <v>0.18519308585200112</v>
      </c>
      <c r="I1893" s="1" cm="1">
        <f t="array" ref="I1893">SUMPRODUCT(([1]OUT_FinalEnergyCons!$B$4:$B$10000="Var_cap")*1, (ISNUMBER(SEARCH("SCOM-SHngahp",[1]OUT_FinalEnergyCons!$A$4:$A$10000)))*1,[1]OUT_FinalEnergyCons!G$4:G$10000)</f>
        <v>0.51279718208965319</v>
      </c>
      <c r="J1893" s="1" cm="1">
        <f t="array" ref="J1893">SUMPRODUCT(([2]OUT_FinalEnergyCons!$B$4:$B$10000="Var_cap")*1, (ISNUMBER(SEARCH("SCOM-SHngahp",[2]OUT_FinalEnergyCons!$A$4:$A$10000)))*1,[2]OUT_FinalEnergyCons!H$4:H$10000)</f>
        <v>0.65849543624283136</v>
      </c>
      <c r="K1893" s="1" cm="1">
        <f t="array" ref="K1893">SUMPRODUCT(([2]OUT_FinalEnergyCons!$B$4:$B$10000="Var_cap")*1, (ISNUMBER(SEARCH("SCOM-SHngahp",[2]OUT_FinalEnergyCons!$A$4:$A$10000)))*1,[2]OUT_FinalEnergyCons!I$4:I$10000)</f>
        <v>0.84224714547602519</v>
      </c>
      <c r="L1893" s="1" cm="1">
        <f t="array" ref="L1893">SUMPRODUCT(([2]OUT_FinalEnergyCons!$B$4:$B$10000="Var_cap")*1, (ISNUMBER(SEARCH("SCOM-SHngahp",[2]OUT_FinalEnergyCons!$A$4:$A$10000)))*1,[2]OUT_FinalEnergyCons!J$4:J$10000)</f>
        <v>0.88452666925860302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0.10535770818694436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0.10563169814739681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0.10493480091104547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0.10472441661210848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2.7361223457264053E-2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1.711461449524264E-4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1.6273326087794981E-4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0.47855153906786441</v>
      </c>
      <c r="G1895" s="1">
        <f t="shared" ref="G1895:L1895" si="2009">G1896</f>
        <v>0.47864425585781628</v>
      </c>
      <c r="H1895" s="1">
        <f t="shared" si="2009"/>
        <v>0.52643129802286148</v>
      </c>
      <c r="I1895" s="1">
        <f t="shared" si="2009"/>
        <v>0.52634695596744452</v>
      </c>
      <c r="J1895" s="1">
        <f t="shared" si="2009"/>
        <v>0.44200365973737604</v>
      </c>
      <c r="K1895" s="1">
        <f t="shared" si="2009"/>
        <v>0.37616432689671797</v>
      </c>
      <c r="L1895" s="1">
        <f t="shared" si="2009"/>
        <v>0.27078098835368941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0.47855153906786441</v>
      </c>
      <c r="G1896" s="1" cm="1">
        <f t="array" ref="G1896">SUMPRODUCT(([1]OUT_FinalEnergyCons!$B$4:$B$10000="Var_cap")*1, (ISNUMBER(SEARCH("SCOM-SHWODBR",[1]OUT_FinalEnergyCons!$A$4:$A$10000)))*1,[1]OUT_FinalEnergyCons!E$4:E$10000)</f>
        <v>0.47864425585781628</v>
      </c>
      <c r="H1896" s="1" cm="1">
        <f t="array" ref="H1896">SUMPRODUCT(([1]OUT_FinalEnergyCons!$B$4:$B$10000="Var_cap")*1, (ISNUMBER(SEARCH("SCOM-SHWODBR",[1]OUT_FinalEnergyCons!$A$4:$A$10000)))*1,[1]OUT_FinalEnergyCons!F$4:F$10000)</f>
        <v>0.52643129802286148</v>
      </c>
      <c r="I1896" s="1" cm="1">
        <f t="array" ref="I1896">SUMPRODUCT(([1]OUT_FinalEnergyCons!$B$4:$B$10000="Var_cap")*1, (ISNUMBER(SEARCH("SCOM-SHWODBR",[1]OUT_FinalEnergyCons!$A$4:$A$10000)))*1,[1]OUT_FinalEnergyCons!G$4:G$10000)</f>
        <v>0.52634695596744452</v>
      </c>
      <c r="J1896" s="1" cm="1">
        <f t="array" ref="J1896">SUMPRODUCT(([2]OUT_FinalEnergyCons!$B$4:$B$10000="Var_cap")*1, (ISNUMBER(SEARCH("SCOM-SHWODBR",[2]OUT_FinalEnergyCons!$A$4:$A$10000)))*1,[2]OUT_FinalEnergyCons!H$4:H$10000)</f>
        <v>0.44200365973737604</v>
      </c>
      <c r="K1896" s="1" cm="1">
        <f t="array" ref="K1896">SUMPRODUCT(([2]OUT_FinalEnergyCons!$B$4:$B$10000="Var_cap")*1, (ISNUMBER(SEARCH("SCOM-SHWODBR",[2]OUT_FinalEnergyCons!$A$4:$A$10000)))*1,[2]OUT_FinalEnergyCons!I$4:I$10000)</f>
        <v>0.37616432689671797</v>
      </c>
      <c r="L1896" s="1" cm="1">
        <f t="array" ref="L1896">SUMPRODUCT(([2]OUT_FinalEnergyCons!$B$4:$B$10000="Var_cap")*1, (ISNUMBER(SEARCH("SCOM-SHWODBR",[2]OUT_FinalEnergyCons!$A$4:$A$10000)))*1,[2]OUT_FinalEnergyCons!J$4:J$10000)</f>
        <v>0.27078098835368941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0.15053506826628146</v>
      </c>
      <c r="G1897" s="1">
        <f t="shared" ref="G1897:L1897" si="2012">G1898</f>
        <v>0.17682883389726675</v>
      </c>
      <c r="H1897" s="1">
        <f t="shared" si="2012"/>
        <v>5.3415176111420312E-2</v>
      </c>
      <c r="I1897" s="1">
        <f t="shared" si="2012"/>
        <v>5.3496630464142103E-2</v>
      </c>
      <c r="J1897" s="1">
        <f t="shared" si="2012"/>
        <v>4.392389339689369E-2</v>
      </c>
      <c r="K1897" s="1">
        <f t="shared" si="2012"/>
        <v>5.7258485214438354E-2</v>
      </c>
      <c r="L1897" s="1">
        <f t="shared" si="2012"/>
        <v>6.0952525646435982E-2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0.15053506826628146</v>
      </c>
      <c r="G1898" s="1" cm="1">
        <f t="array" ref="G1898">SUMPRODUCT(([1]OUT_FinalEnergyCons!$B$4:$B$10000="Var_cap")*1,(ISNUMBER(SEARCH("SCOM-SHPLTBR",[1]OUT_FinalEnergyCons!$A$4:$A$10000)))*1,[1]OUT_FinalEnergyCons!E$4:E$10000)</f>
        <v>0.17682883389726675</v>
      </c>
      <c r="H1898" s="1" cm="1">
        <f t="array" ref="H1898">SUMPRODUCT(([1]OUT_FinalEnergyCons!$B$4:$B$10000="Var_cap")*1,(ISNUMBER(SEARCH("SCOM-SHPLTBR",[1]OUT_FinalEnergyCons!$A$4:$A$10000)))*1,[1]OUT_FinalEnergyCons!F$4:F$10000)</f>
        <v>5.3415176111420312E-2</v>
      </c>
      <c r="I1898" s="1" cm="1">
        <f t="array" ref="I1898">SUMPRODUCT(([1]OUT_FinalEnergyCons!$B$4:$B$10000="Var_cap")*1,(ISNUMBER(SEARCH("SCOM-SHPLTBR",[1]OUT_FinalEnergyCons!$A$4:$A$10000)))*1,[1]OUT_FinalEnergyCons!G$4:G$10000)</f>
        <v>5.3496630464142103E-2</v>
      </c>
      <c r="J1898" s="1" cm="1">
        <f t="array" ref="J1898">SUMPRODUCT(([2]OUT_FinalEnergyCons!$B$4:$B$10000="Var_cap")*1,(ISNUMBER(SEARCH("SCOM-SHPLTBR",[2]OUT_FinalEnergyCons!$A$4:$A$10000)))*1,[2]OUT_FinalEnergyCons!H$4:H$10000)</f>
        <v>4.392389339689369E-2</v>
      </c>
      <c r="K1898" s="1" cm="1">
        <f t="array" ref="K1898">SUMPRODUCT(([2]OUT_FinalEnergyCons!$B$4:$B$10000="Var_cap")*1,(ISNUMBER(SEARCH("SCOM-SHPLTBR",[2]OUT_FinalEnergyCons!$A$4:$A$10000)))*1,[2]OUT_FinalEnergyCons!I$4:I$10000)</f>
        <v>5.7258485214438354E-2</v>
      </c>
      <c r="L1898" s="1" cm="1">
        <f t="array" ref="L1898">SUMPRODUCT(([2]OUT_FinalEnergyCons!$B$4:$B$10000="Var_cap")*1,(ISNUMBER(SEARCH("SCOM-SHPLTBR",[2]OUT_FinalEnergyCons!$A$4:$A$10000)))*1,[2]OUT_FinalEnergyCons!J$4:J$10000)</f>
        <v>6.0952525646435982E-2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9.1216947296159298E-2</v>
      </c>
      <c r="G1899" s="1">
        <f t="shared" ref="G1899:L1899" si="2015">G1900</f>
        <v>0.10061431455423141</v>
      </c>
      <c r="H1899" s="1">
        <f t="shared" si="2015"/>
        <v>0.10063721711131521</v>
      </c>
      <c r="I1899" s="1">
        <f t="shared" si="2015"/>
        <v>0.10071645995903808</v>
      </c>
      <c r="J1899" s="1">
        <f t="shared" si="2015"/>
        <v>9.7193117566199111E-2</v>
      </c>
      <c r="K1899" s="1">
        <f t="shared" si="2015"/>
        <v>0.1185093169690916</v>
      </c>
      <c r="L1899" s="1">
        <f t="shared" si="2015"/>
        <v>0.12920081080323936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9.1216947296159298E-2</v>
      </c>
      <c r="G1900" s="1" cm="1">
        <f t="array" ref="G1900">SUMPRODUCT(([1]OUT_FinalEnergyCons!$B$4:$B$10000="Var_cap")*1, (ISNUMBER(SEARCH("SCOM-SHSOLBR",[1]OUT_FinalEnergyCons!$A$4:$A$10000)))*1,[1]OUT_FinalEnergyCons!E$4:E$10000)</f>
        <v>0.10061431455423141</v>
      </c>
      <c r="H1900" s="1" cm="1">
        <f t="array" ref="H1900">SUMPRODUCT(([1]OUT_FinalEnergyCons!$B$4:$B$10000="Var_cap")*1, (ISNUMBER(SEARCH("SCOM-SHSOLBR",[1]OUT_FinalEnergyCons!$A$4:$A$10000)))*1,[1]OUT_FinalEnergyCons!F$4:F$10000)</f>
        <v>0.10063721711131521</v>
      </c>
      <c r="I1900" s="1" cm="1">
        <f t="array" ref="I1900">SUMPRODUCT(([1]OUT_FinalEnergyCons!$B$4:$B$10000="Var_cap")*1, (ISNUMBER(SEARCH("SCOM-SHSOLBR",[1]OUT_FinalEnergyCons!$A$4:$A$10000)))*1,[1]OUT_FinalEnergyCons!G$4:G$10000)</f>
        <v>0.10071645995903808</v>
      </c>
      <c r="J1900" s="1" cm="1">
        <f t="array" ref="J1900">SUMPRODUCT(([2]OUT_FinalEnergyCons!$B$4:$B$10000="Var_cap")*1, (ISNUMBER(SEARCH("SCOM-SHSOLBR",[2]OUT_FinalEnergyCons!$A$4:$A$10000)))*1,[2]OUT_FinalEnergyCons!H$4:H$10000)</f>
        <v>9.7193117566199111E-2</v>
      </c>
      <c r="K1900" s="1" cm="1">
        <f t="array" ref="K1900">SUMPRODUCT(([2]OUT_FinalEnergyCons!$B$4:$B$10000="Var_cap")*1, (ISNUMBER(SEARCH("SCOM-SHSOLBR",[2]OUT_FinalEnergyCons!$A$4:$A$10000)))*1,[2]OUT_FinalEnergyCons!I$4:I$10000)</f>
        <v>0.1185093169690916</v>
      </c>
      <c r="L1900" s="1" cm="1">
        <f t="array" ref="L1900">SUMPRODUCT(([2]OUT_FinalEnergyCons!$B$4:$B$10000="Var_cap")*1, (ISNUMBER(SEARCH("SCOM-SHSOLBR",[2]OUT_FinalEnergyCons!$A$4:$A$10000)))*1,[2]OUT_FinalEnergyCons!J$4:J$10000)</f>
        <v>0.12920081080323936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1.50430412996553E-5</v>
      </c>
      <c r="J1901" s="1">
        <f t="shared" si="2018"/>
        <v>0.31542174164833298</v>
      </c>
      <c r="K1901" s="1">
        <f t="shared" si="2018"/>
        <v>1.0231020498150893</v>
      </c>
      <c r="L1901" s="1">
        <f t="shared" si="2018"/>
        <v>1.0452229362533498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1.50430412996553E-5</v>
      </c>
      <c r="J1902" s="1" cm="1">
        <f t="array" ref="J1902">SUMPRODUCT(([2]OUT_FinalEnergyCons!$B$4:$B$10000="Var_cap")*1, (ISNUMBER(SEARCH("SCOM-SHH2BR",[2]OUT_FinalEnergyCons!$A$4:$A$10000)))*1,[2]OUT_FinalEnergyCons!H$4:H$10000)</f>
        <v>0.31542174164833298</v>
      </c>
      <c r="K1902" s="1" cm="1">
        <f t="array" ref="K1902">SUMPRODUCT(([2]OUT_FinalEnergyCons!$B$4:$B$10000="Var_cap")*1, (ISNUMBER(SEARCH("SCOM-SHH2BR",[2]OUT_FinalEnergyCons!$A$4:$A$10000)))*1,[2]OUT_FinalEnergyCons!I$4:I$10000)</f>
        <v>1.0231020498150893</v>
      </c>
      <c r="L1902" s="1" cm="1">
        <f t="array" ref="L1902">SUMPRODUCT(([2]OUT_FinalEnergyCons!$B$4:$B$10000="Var_cap")*1, (ISNUMBER(SEARCH("SCOM-SHH2BR",[2]OUT_FinalEnergyCons!$A$4:$A$10000)))*1,[2]OUT_FinalEnergyCons!J$4:J$10000)</f>
        <v>1.0452229362533498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4.6792384290546805</v>
      </c>
      <c r="G1903" s="3">
        <f t="shared" ref="G1903:K1903" si="2020">SUM(G1904:G1953)</f>
        <v>4.8043450610310634</v>
      </c>
      <c r="H1903" s="3">
        <f t="shared" si="2020"/>
        <v>4.9093979796557674</v>
      </c>
      <c r="I1903" s="3">
        <f t="shared" si="2020"/>
        <v>5.2170617057558886</v>
      </c>
      <c r="J1903" s="3">
        <f t="shared" si="2020"/>
        <v>5.442345956449242</v>
      </c>
      <c r="K1903" s="3">
        <f t="shared" si="2020"/>
        <v>5.6722696880852324</v>
      </c>
      <c r="L1903" s="3">
        <f t="shared" ref="L1903" si="2021">SUM(L1904:L1953)</f>
        <v>5.8821688702329658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2.801066841291143E-2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1.4013021769846845E-2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2.4198384931383926E-3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4.3310014059226428E-3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5.5780900361345111E-3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0.13048795164583002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0.29096028208053071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0.35910379784737706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0.37988058228066729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7.8075998491253544E-3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1.3672975628669938E-2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1.8215287595082352E-2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0.57038143366586347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1.6686913488430473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1.9593614112613407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1.9440544912512889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5.0070995158856962E-3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2.3739012591040397E-2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7.7396536904448643E-2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8.1312508161985347E-2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0.11141336978867357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0.64737631302315235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1.0316001168571862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1.6424914539134985E-2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9.1926390101677607E-2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0.29194670110932724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1.0104067736591091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1.7103509827865713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1.8269536828825625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2.3430818564723404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2.5896952972139742E-5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1.1351695119772092E-3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1.9394645460583245E-3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5.6970432944380076E-3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1.1063460168712772E-3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6.5673209194075193E-4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1.057463247667987E-4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4.8571634819299363E-3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7.9623017473377175E-3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8.8333527742429901E-3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1.1139370316629335E-2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3.4189892801241668E-3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1.947359142636009E-3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5.0789834854811258E-4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4.0402657902614322E-3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2.5741393130315513E-2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7.247214574647394E-2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0.34190038780595772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0.66459146953895454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0.46066178772988542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9.9300284968602576E-2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7.235117308671944E-3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1.5439618163207299E-2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1.7595795588699774E-2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1.9194078800756235E-2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3.8346327921473721E-3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1.2993807346427595E-3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2.8144265148551459E-4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1.5069422569588742E-6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1.123166914021443E-3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1.9245346919758732E-3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5.8909128185001287E-3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1.1495343100258756E-3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6.7920212640407705E-4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1.0694266577224798E-4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6.7283509062103714E-4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1.9407437403485151E-3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5.6058465284343677E-3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2.8249602561258428E-3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2.1812057938175597E-3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5.6637743037028017E-4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4.013753844852821E-6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1.156849404315257E-2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5.8323733122126409E-2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0.24182333836203476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0.52732282161924282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0.36770233658617574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8.2360855496344559E-2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2.5883004702203827E-4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4.1482161396717955E-3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7.0624102310165304E-3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1.0902234661451097E-2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2.4334498075001499E-3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1.4439326818383971E-3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3.093118285587541E-4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5.5354937067383398E-5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7.5082175277578581E-5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1.8038721112814107E-5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3.4642905165852798E-6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3.8035682967733666E-6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3.2995230468329691E-6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6.2831666479506751E-6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3.4537847083725739E-5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5.2110501948287521E-5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2.5550803446840391E-5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3.159465123226781E-6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3.2582848814959843E-6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3.1681045545594602E-6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5.3593683227500278E-5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1.3037117849924328E-4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1.3824734746197454E-4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3.732306702197E-5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3.5561749667188963E-6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2.7400636592708835E-6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2.9438577154249898E-6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3.2194302584244299E-5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4.9281645416991686E-5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2.1959387575278099E-5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3.1666979496452745E-6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3.3242493684588964E-6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3.55217171716607E-6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4.3891675459153422E-2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2.1946877235544528E-2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5.6529398338992396E-3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9.2201639887080997E-3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1.0362003700418598E-2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9.5121656295448324E-3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6.8448068010044157E-4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8.0884128343536082E-5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1.720754687688909E-2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4.0594676149835758E-2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0.13379953840312062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0.11515041655413692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6.8957425967327887E-2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8.7537151884859912E-3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1.423208466707343E-2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0.19173110832080234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0.18233934776974342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0.1472635628971482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4.8317090661459852E-2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2.96108717381324E-5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8.2998524796518564E-3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1.5892285637599732E-2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1.6450270134229041E-2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1.421719547282181E-2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2.1689769622606752E-3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3.4157241179893797E-5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1.6628831723417365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0.83140870666471711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3.6490627745920649E-2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4.2724068188990112E-2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0.12580638795372376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0.10651032311906861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5.8407770240286788E-2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7.7079813323937653E-3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0.21737650387413221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0.24394087849292206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0.27028948245918288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0.21645220881217433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3.5357237671840479E-2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3.3985368582212868E-3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0.18196604051142468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0.20461391320185032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0.20794063429645313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0.16948670125419235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1.0094283640805331E-2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1.2388773552396141E-4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0.15702371703118254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0.17991997422044659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0.34617237452715471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0.29127573113345617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0.11149600024852065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1.3871704695984168E-2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3.1437036483584802E-4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7.8336918597091696E-4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1.10480659379235E-3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1.04132398608231E-4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3.0230757689570601E-5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1.6093117902288501E-4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5.1276785596746002E-4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6.6998433071625602E-4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5.5534426901867203E-5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1.45050777506461E-5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1.75244981242855E-4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4.9172988840748397E-4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6.0442619453453901E-4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4.84395226767867E-5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1.1807069755720899E-5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2.38716207620712E-4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7.2340774290020795E-4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8.7233148999211303E-4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6.9882800292578198E-5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1.6673817828341701E-5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1.5868161048817774E-6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2.0749397836406398E-2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2.1049467206396975E-2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1.7792111926739011E-2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8.1084220515369315E-3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5.9530727115687546E-5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2.5959187828813481E-4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0.11096724214448449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0.22000221734218892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0.18585853412121145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9.5953200607880526E-2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8.5238528656439039E-3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1.8547760842216104E-3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5.1278157685974582E-3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5.6753049076309139E-3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4.8651450463116025E-3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7.4917614072526537E-4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2.1533996454264379E-5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3.7723079663037453E-3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1.0840238870749226E-2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1.1240903188961275E-2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9.6812722969768523E-3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1.6980707277501831E-3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2.3008337751229864E-5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0.70636159731272663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0.35318452728045824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4.4434453544773254E-4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1.8238228472858974E-3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2.6315798173359717E-3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2.4293511691288305E-3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1.7888089121077656E-4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2.671625902574797E-5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6.4554974894972653E-2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6.8857431230479146E-2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6.8749746811901741E-2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5.2355343712743363E-2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1.8372366573455035E-3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1.3294417473377172E-5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0.1832273960318711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0.19531384666076756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0.19363509322040501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0.1506125832853325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5.6644013823305009E-3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9.6836676288555253E-6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7.1260147372555399E-2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7.9471854687805557E-2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7.8554303440861478E-2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6.1464383763062243E-2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3.3963085758808753E-3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7.3036683619944785E-6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2.77435138416105E-4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6.5242338728946196E-4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8.9217492029737804E-4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8.22235809804865E-5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2.31833146036178E-5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1.4751489547181899E-4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4.1805575886992699E-4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5.3974750101408995E-4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4.4200710681889799E-5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1.1465396231364899E-5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1.54427882487099E-4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3.89562575957813E-4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4.7580632677896202E-4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3.7550407915544202E-5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9.1513627272187507E-6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1.3320401223752999E-4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3.2410961813973303E-4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4.0324216068371102E-4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3.1020894365915601E-5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7.7659425852122608E-6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2.5616397081194245E-4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2.9042783015163271E-4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3.3952347085270681E-4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2.0029133630795505E-4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6.2795922369025082E-5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2.2934313021378936E-5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2.6900174830049423E-3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2.6527668725691506E-3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2.6636941312835512E-3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4.8233846230312212E-4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1.3567549718044379E-4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1.210412926577714E-5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1.509914908466808E-4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1.9639819204006779E-4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2.5581643863092321E-4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2.311601671746478E-4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8.2762609404441546E-5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1.8810194134831201E-5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2.60743625399938E-3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2.570472494382167E-3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2.4542331392227012E-3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2.6048142752979207E-4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4.1124082223239794E-4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2.5386650333574075E-5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5.7232417519768646</v>
      </c>
      <c r="G1954" s="3">
        <f t="shared" ref="G1954:K1954" si="2025">SUM(G1955:G1977)</f>
        <v>5.7481718769810222</v>
      </c>
      <c r="H1954" s="3">
        <f t="shared" si="2025"/>
        <v>5.849782368154119</v>
      </c>
      <c r="I1954" s="3">
        <f t="shared" si="2025"/>
        <v>6.6988246680345673</v>
      </c>
      <c r="J1954" s="3">
        <f t="shared" si="2025"/>
        <v>6.9028997022204956</v>
      </c>
      <c r="K1954" s="3">
        <f t="shared" si="2025"/>
        <v>7.2366230219798533</v>
      </c>
      <c r="L1954" s="3">
        <f t="shared" ref="L1954" si="2026">SUM(L1955:L1977)</f>
        <v>7.4204915847148278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1.8858695085942664E-2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0.24611329334360857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0.35896055816397227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2.0260977958782007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2.5771553091794601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2.5068827631852426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2.5101262650189855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7.8819556775138189E-3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4.5534165582579479E-2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0.13836511838364396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0.76730650084337493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0.7151968274800341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0.83119657457820717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0.89067720266064521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3.3993020936574012E-2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7.4119215210383962E-2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0.1408623355786468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3.528165973852182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1.9004535996841914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3.6419001057762403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3.8946376701314502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6.6559294939278792E-3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1.3492000166603743E-2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0.37431844198028474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1.14261218303928E-3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1.2767140757909759E-3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5.7029788846114514E-4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5.3291842188817105E-4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6.2197416581067304E-5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4.5194896189796901E-5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4.3871176056662596E-5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2.2063892831637101E-4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1.2083264169762099E-5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2.33164544170535E-4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9.1652504935748008E-6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1.2518264682880701E-4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3.37621757461909E-6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0.13191418111123498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0.16046641850460244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2.9585494390100306E-4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1.1128939778490019E-4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1.0885523210696729E-4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6.2836660384811796E-5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6.4745554116840401E-3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1.3870989317890761E-2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4.2763025679779577E-6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3.634537835826779E-5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3.2224276317642495E-5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7.5765616300968695E-3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1.2722390860514299E-2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0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2.53157270638397E-4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4.8198977011186398E-4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2.2763662538506275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0.27440867731463225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0.65279312099015463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-3.0944659718467552E-4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1.5358276794944994E-2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0.24578861637852248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0.12195789906062428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0.18032391937432107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0.21899623495762507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0.27482179730105549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8.4324216082954859E-2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2.8999332419179266E-3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9.3514464629440596E-4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0.80105205478635377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0.97110347863075464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1.7081401799494333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1.59334363161082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1.1699498440644186E-3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2.1767938931226502E-4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9.631399064758444E-3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1.8006710858634691E-3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3.4677617748108264E-3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6.6039004762051304E-5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7.9812882353616198E-5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7.2409131947265398E-6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4.166264424128429E-2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6.6904024722344501E-3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1.2804057735027064E-2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1.2196658999539993E-3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8.9188743531254701E-3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2.735178323204399E-3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7.400027687086599E-4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2.7243064981941202E-3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8.277616904981586E-3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4.2126992344447962E-4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3.0933709924924396E-3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1.398423901509947E-3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3.5116404550358701E-4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2.3779028944992601E-3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1.3258628280075501E-2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1.483480497091987E-4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3.6060423476385098E-3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1.040027920803412E-3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1.1406072888300901E-4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6.8204641675086099E-5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1.0981129473904671E-4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4.835871949603009E-5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5.0597922029950298E-5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6.452636533926539E-5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5.9420858364493401E-6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2.8659211838108654</v>
      </c>
      <c r="G1978" s="3">
        <f t="shared" ref="G1978" si="2029">SUM(G1979:G2001)</f>
        <v>3.0544885822096108</v>
      </c>
      <c r="H1978" s="3">
        <f t="shared" ref="H1978" si="2030">SUM(H1979:H2001)</f>
        <v>2.9213386024346364</v>
      </c>
      <c r="I1978" s="3">
        <f t="shared" ref="I1978" si="2031">SUM(I1979:I2001)</f>
        <v>2.9265702181534672</v>
      </c>
      <c r="J1978" s="3">
        <f t="shared" ref="J1978" si="2032">SUM(J1979:J2001)</f>
        <v>2.9340037952250442</v>
      </c>
      <c r="K1978" s="3">
        <f t="shared" ref="K1978:L1978" si="2033">SUM(K1979:K2001)</f>
        <v>2.9457182276123466</v>
      </c>
      <c r="L1978" s="3">
        <f t="shared" si="2033"/>
        <v>2.8505473325680386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3.3518861090426929E-3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4.147242954457353E-2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8.0330485173202112E-2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1.4039108320665752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1.2787203943931209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1.259840389863198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1.293216495049601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1.0868309168130717E-2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3.3740361822773055E-2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5.2308625271395459E-2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1.247097489711666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0.66565577026516798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1.2431147244231131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1.2152775292625071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2.201240081532749E-3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9.8352419257369261E-3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1.683180614967044E-2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0.26705083904713528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0.13316551790043901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0.26378070656575792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0.259818835915272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3.1037136138987198E-3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5.3288663525052869E-3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3.74005837388872E-3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9.7770235165064111E-4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1.275031912032998E-3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5.1460078519590204E-4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2.4352650618957299E-4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4.62618429347031E-5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2.8863974050971701E-5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3.9700490128461101E-5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2.9779102615912505E-4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2.3964879404912043E-6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4.4828274458532703E-4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4.5757046784541196E-5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4.7854370901003202E-5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3.64641987307967E-5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1.2600969072513199E-4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5.3304271967753297E-6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7.7768263973979013E-2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9.6442351246080041E-2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6.0730231772940626E-4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8.135003397509002E-5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5.8448764591150897E-5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4.44665054813155E-5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7.6129508442832504E-3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1.3742378178404534E-2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6.1570014628680131E-4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2.662946508657803E-5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2.8748307600970089E-5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3.3194259233572198E-5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2.8996349118833101E-3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5.2098346965093719E-3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1.4777193708819406E-3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3.3967885781961297E-5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3.5250853089794704E-5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1.15517415705732E-5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4.5408025436033801E-4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9.2442566886056599E-4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1.6740735706076502E-4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3.1499302262183696E-6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0.64448157599793499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0.30575236246334953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0.75264672024711587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0.89697881635465126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0.13257778021689787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0.16207971705751531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7.8839638044493565E-2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0.98770368833323774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0.86994840739833279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0.88613264007148818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0.58286575725001888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6.6915610912218048E-3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1.8401565822266E-3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0.19278160029703478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0.17371711389741035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0.17974817032420728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3.3844573450798779E-5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0.13248297566413197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2.3507547198006284E-3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4.0190770507501802E-4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3.0218829538064061E-2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3.5715884385527303E-3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4.9442513745004578E-3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1.2457749341756401E-4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1.35938500482122E-4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1.14178860163945E-5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1.4420849856955917E-2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6.1925291255856699E-3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1.0978638740556518E-2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3.2049735804170077E-4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2.5292345739590999E-3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2.9123179096617554E-3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1.5591257948326402E-4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3.0337087329467003E-3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7.2405370641048404E-3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1.921079369578395E-4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2.5587924729294316E-3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1.6251914299572699E-3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1.6494765274652201E-4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1.8196409797684898E-3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4.5550849416678297E-3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2.4080992613313969E-4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2.02390849812827E-3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1.6338608015673099E-3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1.3449565200522785E-4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2.3758224202754901E-4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7.39264971942151E-4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7.6541025256533299E-5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7.8867067803629589E-5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6.0182582716943192E-6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398.27214137424966</v>
      </c>
      <c r="G2002" s="3">
        <f t="shared" ref="G2002:K2002" si="2036">SUM(G2003:G2011)</f>
        <v>399.42697574318652</v>
      </c>
      <c r="H2002" s="3">
        <f t="shared" si="2036"/>
        <v>406.59439126112653</v>
      </c>
      <c r="I2002" s="3">
        <f t="shared" si="2036"/>
        <v>418.59076594255868</v>
      </c>
      <c r="J2002" s="3">
        <f t="shared" si="2036"/>
        <v>443.67596997681915</v>
      </c>
      <c r="K2002" s="3">
        <f t="shared" si="2036"/>
        <v>468.75709401127648</v>
      </c>
      <c r="L2002" s="3">
        <f t="shared" ref="L2002" si="2037">SUM(L2003:L2011)</f>
        <v>507.76380840717093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1.2999221587943475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0.64995158468443881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1.6973488371809122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6.2323728735079209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9.1356317991614944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145.02022408433936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357.56759577157942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459.03236643119516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507.76255882000498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4.6281098085736314E-2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1.1130429089977705E-2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1.3500945957226199E-3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1.2617398713729571E-3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1.24958716594647E-3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30.634400681765207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15.317247261841105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10.834430301679333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18.40753937375375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31.034308501779691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52.533946961714975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35.597983236017427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5.1464202156327801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152.64877060509787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76.330725922629725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106.16067873160853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125.49680483119329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127.14439780081921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73.597664614263763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0.26288474394212519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2.6087119118358672E-2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52.461006499486011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55.002130813293107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50.177824781035127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4.5406495118358396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2.6846835037808647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2.574840458713394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2.1896721161370123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0.12774427070225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6.8331349649289719E-2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1.030899362295503E-2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41.615409304618773</v>
      </c>
      <c r="G2012" s="3">
        <f t="shared" ref="G2012" si="2040">SUM(G2013:G2021)</f>
        <v>43.007057546441565</v>
      </c>
      <c r="H2012" s="3">
        <f t="shared" ref="H2012" si="2041">SUM(H2013:H2021)</f>
        <v>43.443583184327622</v>
      </c>
      <c r="I2012" s="3">
        <f t="shared" ref="I2012" si="2042">SUM(I2013:I2021)</f>
        <v>45.254769155425556</v>
      </c>
      <c r="J2012" s="3">
        <f t="shared" ref="J2012" si="2043">SUM(J2013:J2021)</f>
        <v>47.349196212753576</v>
      </c>
      <c r="K2012" s="3">
        <f t="shared" ref="K2012:L2012" si="2044">SUM(K2013:K2021)</f>
        <v>49.443524976807161</v>
      </c>
      <c r="L2012" s="3">
        <f t="shared" si="2044"/>
        <v>53.449754932484822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5.1929607422899017E-2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0.20365637277973964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0.30720462489112732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14.180803239640509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15.285044716389582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23.341334150958001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52.704194508650502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1.3980072444518665E-2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4.7282724270338368E-2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5.074897440208205E-2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1.795834022622534E-2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2.1940975992472199E-3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2.1131069313815973E-3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2.0259585846990899E-3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19.77451412834683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9.887230634936893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11.766283015685669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13.777857610234658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10.772496592233583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1.026777309734598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4.7628797295381393E-3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5.1663370181551926E-3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4.3943300987866205E-4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12.45178270525542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20.054690490280276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31.935484575533003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25.98157245234637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0.73437577471539295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0.1212166090656851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8.6472780131976332E-2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8.6836159198574694E-2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8.7309140607052721E-2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0.1217099435022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0.11333892955325431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8.7192575243446816E-3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2.6353821030730001E-3</v>
      </c>
      <c r="G2022" s="3">
        <f t="shared" ref="G2022" si="2048">SUM(G2023,G2027,G2030)</f>
        <v>2.6969516592278784E-3</v>
      </c>
      <c r="H2022" s="3">
        <f t="shared" ref="H2022" si="2049">SUM(H2023,H2027,H2030)</f>
        <v>2.8243651003021578E-3</v>
      </c>
      <c r="I2022" s="3">
        <f t="shared" ref="I2022" si="2050">SUM(I2023,I2027,I2030)</f>
        <v>7.6779616293379113E-3</v>
      </c>
      <c r="J2022" s="3">
        <f t="shared" ref="J2022" si="2051">SUM(J2023,J2027,J2030)</f>
        <v>0.37230589380874646</v>
      </c>
      <c r="K2022" s="3">
        <f t="shared" ref="K2022:L2022" si="2052">SUM(K2023,K2027,K2030)</f>
        <v>4.1484692935159542</v>
      </c>
      <c r="L2022" s="3">
        <f t="shared" si="2052"/>
        <v>4.9411421191727323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2.6353821030730001E-3</v>
      </c>
      <c r="G2023" s="1" cm="1">
        <f t="array" ref="G2023">SUMPRODUCT(ISNUMBER(SEARCH("SUP_ELCH2*",[1]OUT_SyntheticFuels!$C$4:$C$1000))*1,("Var_cap"=[1]OUT_SyntheticFuels!$B$4:$B$1000)*1,[1]OUT_SyntheticFuels!F$4:F$1000)</f>
        <v>2.6969516592278784E-3</v>
      </c>
      <c r="H2023" s="1" cm="1">
        <f t="array" ref="H2023">SUMPRODUCT(ISNUMBER(SEARCH("SUP_ELCH2*",[1]OUT_SyntheticFuels!$C$4:$C$1000))*1,("Var_cap"=[1]OUT_SyntheticFuels!$B$4:$B$1000)*1,[1]OUT_SyntheticFuels!G$4:G$1000)</f>
        <v>2.8243651003021578E-3</v>
      </c>
      <c r="I2023" s="1" cm="1">
        <f t="array" ref="I2023">SUMPRODUCT(ISNUMBER(SEARCH("SUP_ELCH2*",[1]OUT_SyntheticFuels!$C$4:$C$1000))*1,("Var_cap"=[1]OUT_SyntheticFuels!$B$4:$B$1000)*1,[1]OUT_SyntheticFuels!H$4:H$1000)</f>
        <v>6.7822524685678077E-3</v>
      </c>
      <c r="J2023" s="1" cm="1">
        <f t="array" ref="J2023">SUMPRODUCT(ISNUMBER(SEARCH("SUP_ELCH2*",[2]OUT_SyntheticFuels!$C$4:$C$1000))*1,("Var_cap"=[2]OUT_SyntheticFuels!$B$4:$B$1000)*1,[2]OUT_SyntheticFuels!I$4:I$1000)</f>
        <v>0.33099078557988354</v>
      </c>
      <c r="K2023" s="1" cm="1">
        <f t="array" ref="K2023">SUMPRODUCT(ISNUMBER(SEARCH("SUP_ELCH2*",[2]OUT_SyntheticFuels!$C$4:$C$1000))*1,("Var_cap"=[2]OUT_SyntheticFuels!$B$4:$B$1000)*1,[2]OUT_SyntheticFuels!J$4:J$1000)</f>
        <v>4.0363916726869107</v>
      </c>
      <c r="L2023" s="1" cm="1">
        <f t="array" ref="L2023">SUMPRODUCT(ISNUMBER(SEARCH("SUP_ELCH2*",[2]OUT_SyntheticFuels!$C$4:$C$1000))*1,("Var_cap"=[2]OUT_SyntheticFuels!$B$4:$B$1000)*1,[2]OUT_SyntheticFuels!K$4:K$1000)</f>
        <v>4.828881895021583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2.6353821030730001E-3</v>
      </c>
      <c r="G2024" s="1">
        <f t="shared" ref="G2024" si="2056">G2023-G2025-G2026</f>
        <v>2.6969516592278784E-3</v>
      </c>
      <c r="H2024" s="1">
        <f t="shared" ref="H2024" si="2057">H2023-H2025-H2026</f>
        <v>2.8243651003021578E-3</v>
      </c>
      <c r="I2024" s="1">
        <f t="shared" ref="I2024" si="2058">I2023-I2025-I2026</f>
        <v>6.6399646229177633E-3</v>
      </c>
      <c r="J2024" s="1">
        <f t="shared" ref="J2024" si="2059">J2023-J2025-J2026</f>
        <v>0.33095200185858503</v>
      </c>
      <c r="K2024" s="1">
        <f t="shared" ref="K2024:L2024" si="2060">K2023-K2025-K2026</f>
        <v>2.3846319492330776</v>
      </c>
      <c r="L2024" s="1">
        <f t="shared" si="2060"/>
        <v>3.079006168711242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1.42287845650044E-4</v>
      </c>
      <c r="J2025" s="1" cm="1">
        <f t="array" ref="J2025">SUMPRODUCT(ISNUMBER(SEARCH("SUP_ELCH2*D",[2]OUT_SyntheticFuels!$C$4:$C$1000))*1,("Var_cap"=[2]OUT_SyntheticFuels!$B$4:$B$1000)*1,[2]OUT_SyntheticFuels!I$4:I$1000)</f>
        <v>3.8783721298527503E-5</v>
      </c>
      <c r="K2025" s="1" cm="1">
        <f t="array" ref="K2025">SUMPRODUCT(ISNUMBER(SEARCH("SUP_ELCH2*D",[2]OUT_SyntheticFuels!$C$4:$C$1000))*1,("Var_cap"=[2]OUT_SyntheticFuels!$B$4:$B$1000)*1,[2]OUT_SyntheticFuels!J$4:J$1000)</f>
        <v>1.6430015696420901</v>
      </c>
      <c r="L2025" s="1" cm="1">
        <f t="array" ref="L2025">SUMPRODUCT(ISNUMBER(SEARCH("SUP_ELCH2*D",[2]OUT_SyntheticFuels!$C$4:$C$1000))*1,("Var_cap"=[2]OUT_SyntheticFuels!$B$4:$B$1000)*1,[2]OUT_SyntheticFuels!K$4:K$1000)</f>
        <v>1.7384002527235201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8.7581538117431808E-3</v>
      </c>
      <c r="L2026" s="1" cm="1">
        <f t="array" ref="L2026">SUMPRODUCT(ISNUMBER(SEARCH("SUP_ELCH2*SOEC*",[2]OUT_SyntheticFuels!$C$4:$C$1000))*1,("Var_cap"=[2]OUT_SyntheticFuels!$B$4:$B$1000)*1,[2]OUT_SyntheticFuels!K$4:K$1000)</f>
        <v>1.147547358682101E-2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8.3647918781319503E-6</v>
      </c>
      <c r="J2027" s="1">
        <f t="shared" ref="J2027" si="2065">SUM(J2028:J2029)</f>
        <v>2.3060084396665161E-6</v>
      </c>
      <c r="K2027" s="1">
        <f t="shared" ref="K2027:L2027" si="2066">SUM(K2028:K2029)</f>
        <v>3.8106062280332898E-6</v>
      </c>
      <c r="L2027" s="1">
        <f t="shared" si="2066"/>
        <v>2.2078859799054882E-4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8.3647918781319503E-6</v>
      </c>
      <c r="J2028" s="1" cm="1">
        <f t="array" ref="J2028">SUMPRODUCT(ISNUMBER(SEARCH("SUP_NGAH2",[2]OUT_SyntheticFuels!$C$4:$C$1000))*1,("Var_cap"=[2]OUT_SyntheticFuels!$B$4:$B$1000)*1,[2]OUT_SyntheticFuels!I$4:I$1000)-J2029</f>
        <v>2.3060084396665161E-6</v>
      </c>
      <c r="K2028" s="1" cm="1">
        <f t="array" ref="K2028">SUMPRODUCT(ISNUMBER(SEARCH("SUP_NGAH2",[2]OUT_SyntheticFuels!$C$4:$C$1000))*1,("Var_cap"=[2]OUT_SyntheticFuels!$B$4:$B$1000)*1,[2]OUT_SyntheticFuels!J$4:J$1000)-K2029</f>
        <v>3.0484571780148997E-6</v>
      </c>
      <c r="L2028" s="1" cm="1">
        <f t="array" ref="L2028">SUMPRODUCT(ISNUMBER(SEARCH("SUP_NGAH2",[2]OUT_SyntheticFuels!$C$4:$C$1000))*1,("Var_cap"=[2]OUT_SyntheticFuels!$B$4:$B$1000)*1,[2]OUT_SyntheticFuels!K$4:K$1000)-L2029</f>
        <v>1.2885409560841986E-4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7.6214905001838996E-7</v>
      </c>
      <c r="L2029" s="1" cm="1">
        <f t="array" ref="L2029">SUMPRODUCT(ISNUMBER(SEARCH("SUP_NGAH2CCS",[2]OUT_SyntheticFuels!$C$4:$C$1000))*1,("Var_cap"=[2]OUT_SyntheticFuels!$B$4:$B$1000)*1,[2]OUT_SyntheticFuels!K$4:K$1000)</f>
        <v>9.1934502382128944E-5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8.8734436889197196E-4</v>
      </c>
      <c r="J2030" s="1">
        <f t="shared" ref="J2030" si="2071">SUM(J2031:J2032)</f>
        <v>4.1312802220423259E-2</v>
      </c>
      <c r="K2030" s="1">
        <f t="shared" ref="K2030:L2030" si="2072">SUM(K2031:K2032)</f>
        <v>0.11207381022281541</v>
      </c>
      <c r="L2030" s="1">
        <f t="shared" si="2072"/>
        <v>0.11203943555315947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8.8734436889197196E-4</v>
      </c>
      <c r="J2031" s="1" cm="1">
        <f t="array" ref="J2031">SUMPRODUCT(ISNUMBER(SEARCH("SUP_WODH2",[2]OUT_SyntheticFuels!$C$4:$C$1000))*1,("Var_cap"=[2]OUT_SyntheticFuels!$B$4:$B$1000)*1,[2]OUT_SyntheticFuels!I$4:I$1000)-J2032</f>
        <v>4.1312802220423259E-2</v>
      </c>
      <c r="K2031" s="1" cm="1">
        <f t="array" ref="K2031">SUMPRODUCT(ISNUMBER(SEARCH("SUP_WODH2",[2]OUT_SyntheticFuels!$C$4:$C$1000))*1,("Var_cap"=[2]OUT_SyntheticFuels!$B$4:$B$1000)*1,[2]OUT_SyntheticFuels!J$4:J$1000)-K2032</f>
        <v>0.11207381022281541</v>
      </c>
      <c r="L2031" s="1" cm="1">
        <f t="array" ref="L2031">SUMPRODUCT(ISNUMBER(SEARCH("SUP_WODH2",[2]OUT_SyntheticFuels!$C$4:$C$1000))*1,("Var_cap"=[2]OUT_SyntheticFuels!$B$4:$B$1000)*1,[2]OUT_SyntheticFuels!K$4:K$1000)-L2032</f>
        <v>0.11203943555315947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6.2414620691383371E-2</v>
      </c>
      <c r="G2034" s="7" cm="1">
        <f t="array" ref="G2034">SUMPRODUCT(("CT_CWODBDS"=[1]OUT_SyntheticFuels!$C$4:$C$1000)*1,("Var_cap"=[1]OUT_SyntheticFuels!$B$4:$B$1000)*1,[1]OUT_SyntheticFuels!F$4:F$1000)</f>
        <v>6.2409584697077226E-2</v>
      </c>
      <c r="H2034" s="7" cm="1">
        <f t="array" ref="H2034">SUMPRODUCT(("CT_CWODBDS"=[1]OUT_SyntheticFuels!$C$4:$C$1000)*1,("Var_cap"=[1]OUT_SyntheticFuels!$B$4:$B$1000)*1,[1]OUT_SyntheticFuels!G$4:G$1000)</f>
        <v>6.2309309925621462E-2</v>
      </c>
      <c r="I2034" s="7" cm="1">
        <f t="array" ref="I2034">SUMPRODUCT(("CT_CWODBDS"=[1]OUT_SyntheticFuels!$C$4:$C$1000)*1,("Var_cap"=[1]OUT_SyntheticFuels!$B$4:$B$1000)*1,[1]OUT_SyntheticFuels!H$4:H$1000)</f>
        <v>1.5724493680443277E-3</v>
      </c>
      <c r="J2034" s="7" cm="1">
        <f t="array" ref="J2034">SUMPRODUCT(("CT_CWODBDS"=[2]OUT_SyntheticFuels!$C$4:$C$1000)*1,("Var_cap"=[2]OUT_SyntheticFuels!$B$4:$B$1000)*1,[2]OUT_SyntheticFuels!I$4:I$1000)</f>
        <v>9.9578968631367296E-5</v>
      </c>
      <c r="K2034" s="7" cm="1">
        <f t="array" ref="K2034">SUMPRODUCT(("CT_CWODBDS"=[2]OUT_SyntheticFuels!$C$4:$C$1000)*1,("Var_cap"=[2]OUT_SyntheticFuels!$B$4:$B$1000)*1,[2]OUT_SyntheticFuels!J$4:J$1000)</f>
        <v>3.2948271252929684E-3</v>
      </c>
      <c r="L2034" s="7" cm="1">
        <f t="array" ref="L2034">SUMPRODUCT(("CT_CWODBDS"=[2]OUT_SyntheticFuels!$C$4:$C$1000)*1,("Var_cap"=[2]OUT_SyntheticFuels!$B$4:$B$1000)*1,[2]OUT_SyntheticFuels!K$4:K$1000)</f>
        <v>3.2820689981796014E-3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5.9347347707705007E-2</v>
      </c>
      <c r="G2036" s="7" cm="1">
        <f t="array" ref="G2036">SUMPRODUCT(("CT_CWODETH"=[1]OUT_SyntheticFuels!$C$4:$C$1000)*1,("Var_cap"=[1]OUT_SyntheticFuels!$B$4:$B$1000)*1,[1]OUT_SyntheticFuels!F$4:F$1000)</f>
        <v>5.9351820895005694E-2</v>
      </c>
      <c r="H2036" s="7" cm="1">
        <f t="array" ref="H2036">SUMPRODUCT(("CT_CWODETH"=[1]OUT_SyntheticFuels!$C$4:$C$1000)*1,("Var_cap"=[1]OUT_SyntheticFuels!$B$4:$B$1000)*1,[1]OUT_SyntheticFuels!G$4:G$1000)</f>
        <v>6.2905050650972183E-2</v>
      </c>
      <c r="I2036" s="7" cm="1">
        <f t="array" ref="I2036">SUMPRODUCT(("CT_CWODETH"=[1]OUT_SyntheticFuels!$C$4:$C$1000)*1,("Var_cap"=[1]OUT_SyntheticFuels!$B$4:$B$1000)*1,[1]OUT_SyntheticFuels!H$4:H$1000)</f>
        <v>7.6909181841653365E-2</v>
      </c>
      <c r="J2036" s="7" cm="1">
        <f t="array" ref="J2036">SUMPRODUCT(("CT_CWODETH"=[2]OUT_SyntheticFuels!$C$4:$C$1000)*1,("Var_cap"=[2]OUT_SyntheticFuels!$B$4:$B$1000)*1,[2]OUT_SyntheticFuels!I$4:I$1000)</f>
        <v>1.1489824734479959E-4</v>
      </c>
      <c r="K2036" s="7" cm="1">
        <f t="array" ref="K2036">SUMPRODUCT(("CT_CWODETH"=[2]OUT_SyntheticFuels!$C$4:$C$1000)*1,("Var_cap"=[2]OUT_SyntheticFuels!$B$4:$B$1000)*1,[2]OUT_SyntheticFuels!J$4:J$1000)</f>
        <v>1.0115357895480043E-4</v>
      </c>
      <c r="L2036" s="7" cm="1">
        <f t="array" ref="L2036">SUMPRODUCT(("CT_CWODETH"=[2]OUT_SyntheticFuels!$C$4:$C$1000)*1,("Var_cap"=[2]OUT_SyntheticFuels!$B$4:$B$1000)*1,[2]OUT_SyntheticFuels!K$4:K$1000)</f>
        <v>5.4960572322207119E-5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6.8337729709203501E-2</v>
      </c>
      <c r="G2038" s="7" cm="1">
        <f t="array" ref="G2038">SUMPRODUCT(("SUP_MNRBIO"=[1]OUT_SyntheticFuels!$C$4:$C$1000)*1,("Var_cap"=[1]OUT_SyntheticFuels!$B$4:$B$1000)*1,[1]OUT_SyntheticFuels!F$4:F$1000)</f>
        <v>0.16254882538797885</v>
      </c>
      <c r="H2038" s="7" cm="1">
        <f t="array" ref="H2038">SUMPRODUCT(("SUP_MNRBIO"=[1]OUT_SyntheticFuels!$C$4:$C$1000)*1,("Var_cap"=[1]OUT_SyntheticFuels!$B$4:$B$1000)*1,[1]OUT_SyntheticFuels!G$4:G$1000)</f>
        <v>0.16256342554111533</v>
      </c>
      <c r="I2038" s="7" cm="1">
        <f t="array" ref="I2038">SUMPRODUCT(("SUP_MNRBIO"=[1]OUT_SyntheticFuels!$C$4:$C$1000)*1,("Var_cap"=[1]OUT_SyntheticFuels!$B$4:$B$1000)*1,[1]OUT_SyntheticFuels!H$4:H$1000)</f>
        <v>0.16256341209374639</v>
      </c>
      <c r="J2038" s="7" cm="1">
        <f t="array" ref="J2038">SUMPRODUCT(("SUP_MNRBIO"=[2]OUT_SyntheticFuels!$C$4:$C$1000)*1,("Var_cap"=[2]OUT_SyntheticFuels!$B$4:$B$1000)*1,[2]OUT_SyntheticFuels!I$4:I$1000)</f>
        <v>0.16241344275017441</v>
      </c>
      <c r="K2038" s="7" cm="1">
        <f t="array" ref="K2038">SUMPRODUCT(("SUP_MNRBIO"=[2]OUT_SyntheticFuels!$C$4:$C$1000)*1,("Var_cap"=[2]OUT_SyntheticFuels!$B$4:$B$1000)*1,[2]OUT_SyntheticFuels!J$4:J$1000)</f>
        <v>0.22482087348187083</v>
      </c>
      <c r="L2038" s="7" cm="1">
        <f t="array" ref="L2038">SUMPRODUCT(("SUP_MNRBIO"=[2]OUT_SyntheticFuels!$C$4:$C$1000)*1,("Var_cap"=[2]OUT_SyntheticFuels!$B$4:$B$1000)*1,[2]OUT_SyntheticFuels!K$4:K$1000)</f>
        <v>0.22979641362403086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0.21279699567428934</v>
      </c>
      <c r="G2039" s="7" cm="1">
        <f t="array" ref="G2039">SUMPRODUCT(("SUP_WSTBIO"=[1]OUT_SyntheticFuels!$C$4:$C$1000)*1,("Var_cap"=[1]OUT_SyntheticFuels!$B$4:$B$1000)*1,[1]OUT_SyntheticFuels!F$4:F$1000)</f>
        <v>0.24150485329446542</v>
      </c>
      <c r="H2039" s="7" cm="1">
        <f t="array" ref="H2039">SUMPRODUCT(("SUP_WSTBIO"=[1]OUT_SyntheticFuels!$C$4:$C$1000)*1,("Var_cap"=[1]OUT_SyntheticFuels!$B$4:$B$1000)*1,[1]OUT_SyntheticFuels!G$4:G$1000)</f>
        <v>0.24147065447397506</v>
      </c>
      <c r="I2039" s="7" cm="1">
        <f t="array" ref="I2039">SUMPRODUCT(("SUP_WSTBIO"=[1]OUT_SyntheticFuels!$C$4:$C$1000)*1,("Var_cap"=[1]OUT_SyntheticFuels!$B$4:$B$1000)*1,[1]OUT_SyntheticFuels!H$4:H$1000)</f>
        <v>0.26147671468051759</v>
      </c>
      <c r="J2039" s="7" cm="1">
        <f t="array" ref="J2039">SUMPRODUCT(("SUP_WSTBIO"=[2]OUT_SyntheticFuels!$C$4:$C$1000)*1,("Var_cap"=[2]OUT_SyntheticFuels!$B$4:$B$1000)*1,[2]OUT_SyntheticFuels!I$4:I$1000)</f>
        <v>0.28981524093783245</v>
      </c>
      <c r="K2039" s="7" cm="1">
        <f t="array" ref="K2039">SUMPRODUCT(("SUP_WSTBIO"=[2]OUT_SyntheticFuels!$C$4:$C$1000)*1,("Var_cap"=[2]OUT_SyntheticFuels!$B$4:$B$1000)*1,[2]OUT_SyntheticFuels!J$4:J$1000)</f>
        <v>0.31763683302766338</v>
      </c>
      <c r="L2039" s="7" cm="1">
        <f t="array" ref="L2039">SUMPRODUCT(("SUP_WSTBIO"=[2]OUT_SyntheticFuels!$C$4:$C$1000)*1,("Var_cap"=[2]OUT_SyntheticFuels!$B$4:$B$1000)*1,[2]OUT_SyntheticFuels!K$4:K$1000)</f>
        <v>0.37191136339020736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3.73385500079203E-3</v>
      </c>
      <c r="L2041" s="7" cm="1">
        <f t="array" ref="L2041">SUMPRODUCT(("SUP_WSTHTGBIO"=[2]OUT_SyntheticFuels!$C$4:$C$1000)*1,("Var_cap"=[2]OUT_SyntheticFuels!$B$4:$B$1000)*1,[2]OUT_SyntheticFuels!K$4:K$1000)</f>
        <v>4.3686405548880383E-3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1.6210554757487498E-5</v>
      </c>
      <c r="G2043" s="7" cm="1">
        <f t="array" ref="G2043">SUMPRODUCT(("SUP_WODBIO"=[1]OUT_SyntheticFuels!$C$4:$C$1000)*1,("Var_cap"=[1]OUT_SyntheticFuels!$B$4:$B$1000)*1,[1]OUT_SyntheticFuels!F$4:F$1000)</f>
        <v>6.3860374680141071E-4</v>
      </c>
      <c r="H2043" s="7" cm="1">
        <f t="array" ref="H2043">SUMPRODUCT(("SUP_WODBIO"=[1]OUT_SyntheticFuels!$C$4:$C$1000)*1,("Var_cap"=[1]OUT_SyntheticFuels!$B$4:$B$1000)*1,[1]OUT_SyntheticFuels!G$4:G$1000)</f>
        <v>6.6402033593582742E-4</v>
      </c>
      <c r="I2043" s="7" cm="1">
        <f t="array" ref="I2043">SUMPRODUCT(("SUP_WODBIO"=[1]OUT_SyntheticFuels!$C$4:$C$1000)*1,("Var_cap"=[1]OUT_SyntheticFuels!$B$4:$B$1000)*1,[1]OUT_SyntheticFuels!H$4:H$1000)</f>
        <v>6.7125995242248832E-4</v>
      </c>
      <c r="J2043" s="7" cm="1">
        <f t="array" ref="J2043">SUMPRODUCT(("SUP_WODBIO"=[2]OUT_SyntheticFuels!$C$4:$C$1000)*1,("Var_cap"=[2]OUT_SyntheticFuels!$B$4:$B$1000)*1,[2]OUT_SyntheticFuels!I$4:I$1000)</f>
        <v>9.2781373587389355E-5</v>
      </c>
      <c r="K2043" s="7" cm="1">
        <f t="array" ref="K2043">SUMPRODUCT(("SUP_WODBIO"=[2]OUT_SyntheticFuels!$C$4:$C$1000)*1,("Var_cap"=[2]OUT_SyntheticFuels!$B$4:$B$1000)*1,[2]OUT_SyntheticFuels!J$4:J$1000)</f>
        <v>8.4243963227344287E-2</v>
      </c>
      <c r="L2043" s="7" cm="1">
        <f t="array" ref="L2043">SUMPRODUCT(("SUP_WODBIO"=[2]OUT_SyntheticFuels!$C$4:$C$1000)*1,("Var_cap"=[2]OUT_SyntheticFuels!$B$4:$B$1000)*1,[2]OUT_SyntheticFuels!K$4:K$1000)</f>
        <v>8.424390025046409E-2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4.352469906735415E-2</v>
      </c>
      <c r="G2045" s="7" cm="1">
        <f t="array" ref="G2045">SUMPRODUCT(("SUP_BIONGA"=[1]OUT_SyntheticFuels!$C$4:$C$1000)*1,("Var_cap"=[1]OUT_SyntheticFuels!$B$4:$B$1000)*1,[1]OUT_SyntheticFuels!F$4:F$1000)</f>
        <v>0.13617636338315181</v>
      </c>
      <c r="H2045" s="7" cm="1">
        <f t="array" ref="H2045">SUMPRODUCT(("SUP_BIONGA"=[1]OUT_SyntheticFuels!$C$4:$C$1000)*1,("Var_cap"=[1]OUT_SyntheticFuels!$B$4:$B$1000)*1,[1]OUT_SyntheticFuels!G$4:G$1000)</f>
        <v>0.13616944382452406</v>
      </c>
      <c r="I2045" s="7" cm="1">
        <f t="array" ref="I2045">SUMPRODUCT(("SUP_BIONGA"=[1]OUT_SyntheticFuels!$C$4:$C$1000)*1,("Var_cap"=[1]OUT_SyntheticFuels!$B$4:$B$1000)*1,[1]OUT_SyntheticFuels!H$4:H$1000)</f>
        <v>0.13322674348498703</v>
      </c>
      <c r="J2045" s="7" cm="1">
        <f t="array" ref="J2045">SUMPRODUCT(("SUP_BIONGA"=[2]OUT_SyntheticFuels!$C$4:$C$1000)*1,("Var_cap"=[2]OUT_SyntheticFuels!$B$4:$B$1000)*1,[2]OUT_SyntheticFuels!I$4:I$1000)</f>
        <v>0.13038116620214113</v>
      </c>
      <c r="K2045" s="7" cm="1">
        <f t="array" ref="K2045">SUMPRODUCT(("SUP_BIONGA"=[2]OUT_SyntheticFuels!$C$4:$C$1000)*1,("Var_cap"=[2]OUT_SyntheticFuels!$B$4:$B$1000)*1,[2]OUT_SyntheticFuels!J$4:J$1000)</f>
        <v>0.27606209340750965</v>
      </c>
      <c r="L2045" s="7" cm="1">
        <f t="array" ref="L2045">SUMPRODUCT(("SUP_BIONGA"=[2]OUT_SyntheticFuels!$C$4:$C$1000)*1,("Var_cap"=[2]OUT_SyntheticFuels!$B$4:$B$1000)*1,[2]OUT_SyntheticFuels!K$4:K$1000)</f>
        <v>0.30529744228751959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0.36634906655500521</v>
      </c>
      <c r="G2046" s="7" cm="1">
        <f t="array" ref="G2046">SUMPRODUCT(("CT_CWODPLT"=[1]OUT_SyntheticFuels!$C$4:$C$1000)*1,("Var_cap"=[1]OUT_SyntheticFuels!$B$4:$B$1000)*1,[1]OUT_SyntheticFuels!F$4:F$1000)</f>
        <v>0.40757188095441188</v>
      </c>
      <c r="H2046" s="7" cm="1">
        <f t="array" ref="H2046">SUMPRODUCT(("CT_CWODPLT"=[1]OUT_SyntheticFuels!$C$4:$C$1000)*1,("Var_cap"=[1]OUT_SyntheticFuels!$B$4:$B$1000)*1,[1]OUT_SyntheticFuels!G$4:G$1000)</f>
        <v>0.12668917879899505</v>
      </c>
      <c r="I2046" s="7" cm="1">
        <f t="array" ref="I2046">SUMPRODUCT(("CT_CWODPLT"=[1]OUT_SyntheticFuels!$C$4:$C$1000)*1,("Var_cap"=[1]OUT_SyntheticFuels!$B$4:$B$1000)*1,[1]OUT_SyntheticFuels!H$4:H$1000)</f>
        <v>0.12559257919378103</v>
      </c>
      <c r="J2046" s="7" cm="1">
        <f t="array" ref="J2046">SUMPRODUCT(("CT_CWODPLT"=[2]OUT_SyntheticFuels!$C$4:$C$1000)*1,("Var_cap"=[2]OUT_SyntheticFuels!$B$4:$B$1000)*1,[2]OUT_SyntheticFuels!I$4:I$1000)</f>
        <v>0.11652101600873058</v>
      </c>
      <c r="K2046" s="7" cm="1">
        <f t="array" ref="K2046">SUMPRODUCT(("CT_CWODPLT"=[2]OUT_SyntheticFuels!$C$4:$C$1000)*1,("Var_cap"=[2]OUT_SyntheticFuels!$B$4:$B$1000)*1,[2]OUT_SyntheticFuels!J$4:J$1000)</f>
        <v>0.1322274718691176</v>
      </c>
      <c r="L2046" s="7" cm="1">
        <f t="array" ref="L2046">SUMPRODUCT(("CT_CWODPLT"=[2]OUT_SyntheticFuels!$C$4:$C$1000)*1,("Var_cap"=[2]OUT_SyntheticFuels!$B$4:$B$1000)*1,[2]OUT_SyntheticFuels!K$4:K$1000)</f>
        <v>0.12809286657910723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1.4756301969204599E-5</v>
      </c>
      <c r="J2047" s="7" cm="1">
        <f t="array" ref="J2047">SUMPRODUCT(("SUP_H2NGA"=[2]OUT_SyntheticFuels!$C$4:$C$1000)*1,("Var_cap"=[2]OUT_SyntheticFuels!$B$4:$B$1000)*1,[2]OUT_SyntheticFuels!I$4:I$1000)</f>
        <v>4.9375409589911E-6</v>
      </c>
      <c r="K2047" s="7" cm="1">
        <f t="array" ref="K2047">SUMPRODUCT(("SUP_H2NGA"=[2]OUT_SyntheticFuels!$C$4:$C$1000)*1,("Var_cap"=[2]OUT_SyntheticFuels!$B$4:$B$1000)*1,[2]OUT_SyntheticFuels!J$4:J$1000)</f>
        <v>1.7619195902204723</v>
      </c>
      <c r="L2047" s="7" cm="1">
        <f t="array" ref="L2047">SUMPRODUCT(("SUP_H2NGA"=[2]OUT_SyntheticFuels!$C$4:$C$1000)*1,("Var_cap"=[2]OUT_SyntheticFuels!$B$4:$B$1000)*1,[2]OUT_SyntheticFuels!K$4:K$1000)</f>
        <v>2.2598131576649156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3.63733123604139E-5</v>
      </c>
      <c r="J2048" s="7" cm="1">
        <f t="array" ref="J2048">SUMPRODUCT(("SUP_H2DSL"=[2]OUT_SyntheticFuels!$C$4:$C$1000)*1,("Var_cap"=[2]OUT_SyntheticFuels!$B$4:$B$1000)*1,[2]OUT_SyntheticFuels!I$4:I$1000)</f>
        <v>8.6542682334038693E-6</v>
      </c>
      <c r="K2048" s="7" cm="1">
        <f t="array" ref="K2048">SUMPRODUCT(("SUP_H2DSL"=[2]OUT_SyntheticFuels!$C$4:$C$1000)*1,("Var_cap"=[2]OUT_SyntheticFuels!$B$4:$B$1000)*1,[2]OUT_SyntheticFuels!J$4:J$1000)</f>
        <v>1.8930758238709952E-3</v>
      </c>
      <c r="L2048" s="7" cm="1">
        <f t="array" ref="L2048">SUMPRODUCT(("SUP_H2DSL"=[2]OUT_SyntheticFuels!$C$4:$C$1000)*1,("Var_cap"=[2]OUT_SyntheticFuels!$B$4:$B$1000)*1,[2]OUT_SyntheticFuels!K$4:K$1000)</f>
        <v>0.1670411078245386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4.2022697970547602E-5</v>
      </c>
      <c r="J2049" s="7" cm="1">
        <f t="array" ref="J2049">SUMPRODUCT(("SUP_H2GSL"=[2]OUT_SyntheticFuels!$C$4:$C$1000)*1,("Var_cap"=[2]OUT_SyntheticFuels!$B$4:$B$1000)*1,[2]OUT_SyntheticFuels!I$4:I$1000)</f>
        <v>1.058114105846372E-5</v>
      </c>
      <c r="K2049" s="7" cm="1">
        <f t="array" ref="K2049">SUMPRODUCT(("SUP_H2GSL"=[2]OUT_SyntheticFuels!$C$4:$C$1000)*1,("Var_cap"=[2]OUT_SyntheticFuels!$B$4:$B$1000)*1,[2]OUT_SyntheticFuels!J$4:J$1000)</f>
        <v>9.7279898685587382E-2</v>
      </c>
      <c r="L2049" s="7" cm="1">
        <f t="array" ref="L2049">SUMPRODUCT(("SUP_H2GSL"=[2]OUT_SyntheticFuels!$C$4:$C$1000)*1,("Var_cap"=[2]OUT_SyntheticFuels!$B$4:$B$1000)*1,[2]OUT_SyntheticFuels!K$4:K$1000)</f>
        <v>9.7273565810148593E-2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8.3213570651093194E-2</v>
      </c>
      <c r="G2050" s="3">
        <f t="shared" si="2075"/>
        <v>0.18450593490718212</v>
      </c>
      <c r="H2050" s="3">
        <f t="shared" si="2075"/>
        <v>5.2115821422494397</v>
      </c>
      <c r="I2050" s="3">
        <f t="shared" si="2075"/>
        <v>7.1696373544008587</v>
      </c>
      <c r="J2050" s="3">
        <f t="shared" si="2075"/>
        <v>4.6595499432471428</v>
      </c>
      <c r="K2050" s="3">
        <f t="shared" si="2075"/>
        <v>24.838370583997939</v>
      </c>
      <c r="L2050" s="3">
        <f t="shared" ref="L2050" si="2076">SUM(L2051,L2053,L2057,L2061,L2077,L2084,L2092,L2094,L2102,L2106,L2100)</f>
        <v>23.618764596990516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8.2077009434940465E-2</v>
      </c>
      <c r="H2053" s="1">
        <f t="shared" si="2081"/>
        <v>5.6263049827889537E-2</v>
      </c>
      <c r="I2053" s="1">
        <f t="shared" si="2081"/>
        <v>0.19800050233517039</v>
      </c>
      <c r="J2053" s="1">
        <f t="shared" si="2081"/>
        <v>9.6498847094901766E-2</v>
      </c>
      <c r="K2053" s="1">
        <f t="shared" si="2081"/>
        <v>0.45615193711833074</v>
      </c>
      <c r="L2053" s="1">
        <f t="shared" ref="L2053" si="2082">SUM(L2054:L2056)</f>
        <v>0.169763607377729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6.7433343013801897E-2</v>
      </c>
      <c r="H2054" s="1">
        <f>'[1]Electricity and CHPs_NCAP'!D$15</f>
        <v>1.9269694653528339E-2</v>
      </c>
      <c r="I2054" s="1">
        <f>'[1]Electricity and CHPs_NCAP'!E$15</f>
        <v>0.19600321022085351</v>
      </c>
      <c r="J2054" s="1">
        <f>'[2]Electricity and CHPs_NCAP'!F$15</f>
        <v>3.5061299814235204E-2</v>
      </c>
      <c r="K2054" s="1">
        <f>'[2]Electricity and CHPs_NCAP'!G$15</f>
        <v>5.4290499704810459E-2</v>
      </c>
      <c r="L2054" s="1">
        <f>'[2]Electricity and CHPs_NCAP'!H$15</f>
        <v>0.16975734910380755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9.77240805752062E-3</v>
      </c>
      <c r="H2055" s="1">
        <f>'[1]Electricity and CHPs_NCAP'!D$16</f>
        <v>3.699075894892441E-2</v>
      </c>
      <c r="I2055" s="1">
        <f>'[1]Electricity and CHPs_NCAP'!E$16</f>
        <v>1.9946923314106469E-3</v>
      </c>
      <c r="J2055" s="1">
        <f>'[2]Electricity and CHPs_NCAP'!F$16</f>
        <v>6.1437290084273399E-2</v>
      </c>
      <c r="K2055" s="1">
        <f>'[2]Electricity and CHPs_NCAP'!G$16</f>
        <v>0.4018610533433819</v>
      </c>
      <c r="L2055" s="1">
        <f>'[2]Electricity and CHPs_NCAP'!H$16</f>
        <v>5.0052801381894727E-6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4.8712583636179498E-3</v>
      </c>
      <c r="H2056" s="1">
        <f>'[1]Electricity and CHPs_NCAP'!D$17</f>
        <v>2.59622543678957E-6</v>
      </c>
      <c r="I2056" s="1">
        <f>'[1]Electricity and CHPs_NCAP'!E$17</f>
        <v>2.5997829062343898E-6</v>
      </c>
      <c r="J2056" s="1">
        <f>'[2]Electricity and CHPs_NCAP'!F$17</f>
        <v>2.5719639316553802E-7</v>
      </c>
      <c r="K2056" s="1">
        <f>'[2]Electricity and CHPs_NCAP'!G$17</f>
        <v>3.8407013838203599E-7</v>
      </c>
      <c r="L2056" s="1">
        <f>'[2]Electricity and CHPs_NCAP'!H$17</f>
        <v>1.2529937832557799E-6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2.4361250594758427E-2</v>
      </c>
      <c r="H2057" s="1">
        <f t="shared" si="2083"/>
        <v>1.5895312969099063E-2</v>
      </c>
      <c r="I2057" s="1">
        <f t="shared" si="2083"/>
        <v>1.6841405489253582E-2</v>
      </c>
      <c r="J2057" s="1">
        <f t="shared" si="2083"/>
        <v>4.36391762509105E-5</v>
      </c>
      <c r="K2057" s="1">
        <f t="shared" si="2083"/>
        <v>6.7077059611941639E-5</v>
      </c>
      <c r="L2057" s="1">
        <f t="shared" ref="L2057" si="2084">SUM(L2058:L2060)</f>
        <v>8.8253307810834977E-5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6.8119039490294295E-4</v>
      </c>
      <c r="H2058" s="1">
        <f>'[1]Electricity and CHPs_NCAP'!D$18</f>
        <v>1.5747048355054499E-2</v>
      </c>
      <c r="I2058" s="1">
        <f>'[1]Electricity and CHPs_NCAP'!E$18</f>
        <v>1.671709355842E-2</v>
      </c>
      <c r="J2058" s="1">
        <f>'[2]Electricity and CHPs_NCAP'!F$18</f>
        <v>1.8760200602310201E-5</v>
      </c>
      <c r="K2058" s="1">
        <f>'[2]Electricity and CHPs_NCAP'!G$18</f>
        <v>3.4583859344325401E-6</v>
      </c>
      <c r="L2058" s="1">
        <f>'[2]Electricity and CHPs_NCAP'!H$18</f>
        <v>5.3702683197388804E-6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4.3320247787038599E-4</v>
      </c>
      <c r="H2059" s="1">
        <f>'[1]Electricity and CHPs_NCAP'!D$28</f>
        <v>1.4826461404456501E-4</v>
      </c>
      <c r="I2059" s="1">
        <f>'[1]Electricity and CHPs_NCAP'!E$28</f>
        <v>1.24311930833582E-4</v>
      </c>
      <c r="J2059" s="1">
        <f>'[2]Electricity and CHPs_NCAP'!F$28</f>
        <v>2.4878975648600299E-5</v>
      </c>
      <c r="K2059" s="1">
        <f>'[2]Electricity and CHPs_NCAP'!G$28</f>
        <v>6.3618673677509095E-5</v>
      </c>
      <c r="L2059" s="1">
        <f>'[2]Electricity and CHPs_NCAP'!H$28</f>
        <v>8.2883039491096102E-5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2.3246857721985099E-2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5.6099990487264502E-2</v>
      </c>
      <c r="H2061" s="1">
        <f t="shared" si="2085"/>
        <v>8.38158132644066E-3</v>
      </c>
      <c r="I2061" s="1">
        <f t="shared" si="2085"/>
        <v>1.583104292076893E-2</v>
      </c>
      <c r="J2061" s="1">
        <f t="shared" si="2085"/>
        <v>7.7411649546254652E-2</v>
      </c>
      <c r="K2061" s="1">
        <f t="shared" si="2085"/>
        <v>4.3436796664788821E-2</v>
      </c>
      <c r="L2061" s="1">
        <f t="shared" ref="L2061" si="2086">SUM(L2062:L2076)</f>
        <v>0.11971037365530268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1.22894122770338E-5</v>
      </c>
      <c r="L2062" s="1">
        <f>'[2]Electricity and CHPs_NCAP'!H$21</f>
        <v>9.3078750547020701E-4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1.5180492082183801E-3</v>
      </c>
      <c r="K2063" s="1">
        <f>'[2]Electricity and CHPs_NCAP'!G$22</f>
        <v>1.49030840561484E-5</v>
      </c>
      <c r="L2063" s="1">
        <f>'[2]Electricity and CHPs_NCAP'!H$22</f>
        <v>4.8325236136849699E-2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3.16525421390184E-6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1.3583102283850299E-5</v>
      </c>
      <c r="H2067" s="1">
        <f>'[1]Electricity and CHPs_NCAP'!D$39</f>
        <v>1.73569168056178E-3</v>
      </c>
      <c r="I2067" s="1">
        <f>'[1]Electricity and CHPs_NCAP'!E$39</f>
        <v>3.48541316175593E-3</v>
      </c>
      <c r="J2067" s="1">
        <f>'[2]Electricity and CHPs_NCAP'!F$39</f>
        <v>3.1355728955164197E-2</v>
      </c>
      <c r="K2067" s="1">
        <f>'[2]Electricity and CHPs_NCAP'!G$39</f>
        <v>4.3296578953831016E-6</v>
      </c>
      <c r="L2067" s="1">
        <f>'[2]Electricity and CHPs_NCAP'!H$39</f>
        <v>1.11130396363253E-2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1.2245939601713199E-2</v>
      </c>
      <c r="L2068" s="1">
        <f>'[2]Electricity and CHPs_NCAP'!H$40</f>
        <v>1.58440596624254E-2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4.5757158043517598E-4</v>
      </c>
      <c r="K2069" s="1">
        <f>'[2]Electricity and CHPs_NCAP'!G$47</f>
        <v>2.6471711326549298E-6</v>
      </c>
      <c r="L2069" s="1">
        <f>'[2]Electricity and CHPs_NCAP'!H$47</f>
        <v>5.2989594497721198E-6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9.64415610812778E-4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1.4748962007393746E-3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2.6269355026159E-2</v>
      </c>
      <c r="H2074" s="1">
        <f>'[1]Electricity and CHPs_NCAP'!D$54</f>
        <v>6.6458896458788802E-3</v>
      </c>
      <c r="I2074" s="1">
        <f>'[1]Electricity and CHPs_NCAP'!E$54</f>
        <v>1.2345629759013E-2</v>
      </c>
      <c r="J2074" s="1">
        <f>'[2]Electricity and CHPs_NCAP'!F$54</f>
        <v>4.4080299802436898E-2</v>
      </c>
      <c r="K2074" s="1">
        <f>'[2]Electricity and CHPs_NCAP'!G$54</f>
        <v>3.1156687737714399E-2</v>
      </c>
      <c r="L2074" s="1">
        <f>'[2]Electricity and CHPs_NCAP'!H$54</f>
        <v>4.34919517547823E-2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2.7374575293055599E-2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2.0089719393286353E-5</v>
      </c>
      <c r="H2077" s="1">
        <f t="shared" si="2087"/>
        <v>3.3310134757570137E-2</v>
      </c>
      <c r="I2077" s="1">
        <f t="shared" si="2087"/>
        <v>5.0010641885071254E-2</v>
      </c>
      <c r="J2077" s="1">
        <f t="shared" si="2087"/>
        <v>7.7696680221306935E-2</v>
      </c>
      <c r="K2077" s="1">
        <f t="shared" si="2087"/>
        <v>0.17729028053095641</v>
      </c>
      <c r="L2077" s="1">
        <f t="shared" ref="L2077" si="2088">SUM(L2078:L2083)</f>
        <v>0.28673741448675394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6.2944844115577101E-6</v>
      </c>
      <c r="H2078" s="1">
        <f>'[1]Electricity and CHPs_NCAP'!D$19</f>
        <v>3.3303223640693103E-2</v>
      </c>
      <c r="I2078" s="1">
        <f>'[1]Electricity and CHPs_NCAP'!E$19</f>
        <v>4.7093043683537297E-2</v>
      </c>
      <c r="J2078" s="1">
        <f>'[2]Electricity and CHPs_NCAP'!F$19</f>
        <v>7.5364937576352306E-2</v>
      </c>
      <c r="K2078" s="1">
        <f>'[2]Electricity and CHPs_NCAP'!G$19</f>
        <v>1.24672168458204E-7</v>
      </c>
      <c r="L2078" s="1">
        <f>'[2]Electricity and CHPs_NCAP'!H$19</f>
        <v>7.4410029961262304E-8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0.113744398037737</v>
      </c>
      <c r="L2079" s="1">
        <f>'[2]Electricity and CHPs_NCAP'!H$20</f>
        <v>0.23433615219450801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7.2413854533022801E-6</v>
      </c>
      <c r="H2080" s="1">
        <f>'[1]Electricity and CHPs_NCAP'!D$26</f>
        <v>4.0133576567924799E-6</v>
      </c>
      <c r="I2080" s="1">
        <f>'[1]Electricity and CHPs_NCAP'!E$26</f>
        <v>2.9064328118965899E-3</v>
      </c>
      <c r="J2080" s="1">
        <f>'[2]Electricity and CHPs_NCAP'!F$26</f>
        <v>2.33031225785641E-3</v>
      </c>
      <c r="K2080" s="1">
        <f>'[2]Electricity and CHPs_NCAP'!G$26</f>
        <v>2.0076234531361602E-3</v>
      </c>
      <c r="L2080" s="1">
        <f>'[2]Electricity and CHPs_NCAP'!H$26</f>
        <v>7.1207777405961196E-8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4.3638692465588297E-2</v>
      </c>
      <c r="L2081" s="1">
        <f>'[2]Electricity and CHPs_NCAP'!H$27</f>
        <v>3.8003845114694901E-2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6.5538495284263599E-6</v>
      </c>
      <c r="H2082" s="1">
        <f>'[1]Electricity and CHPs_NCAP'!D$44</f>
        <v>2.8977592202434901E-6</v>
      </c>
      <c r="I2082" s="1">
        <f>'[1]Electricity and CHPs_NCAP'!E$44</f>
        <v>1.1165389637362701E-5</v>
      </c>
      <c r="J2082" s="1">
        <f>'[2]Electricity and CHPs_NCAP'!F$44</f>
        <v>1.4303870982300699E-6</v>
      </c>
      <c r="K2082" s="1">
        <f>'[2]Electricity and CHPs_NCAP'!G$44</f>
        <v>2.0655875099511901E-7</v>
      </c>
      <c r="L2082" s="1">
        <f>'[2]Electricity and CHPs_NCAP'!H$44</f>
        <v>7.7222441648848096E-8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1.7899235343575501E-2</v>
      </c>
      <c r="L2083" s="1">
        <f>'[2]Electricity and CHPs_NCAP'!H$45</f>
        <v>1.4397194337301999E-2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1.4034605265957061E-2</v>
      </c>
      <c r="H2084" s="1">
        <f t="shared" si="2090"/>
        <v>3.1609603422618149E-2</v>
      </c>
      <c r="I2084" s="1">
        <f t="shared" si="2090"/>
        <v>5.0863965431456673E-2</v>
      </c>
      <c r="J2084" s="1">
        <f t="shared" si="2090"/>
        <v>0.10508208982043626</v>
      </c>
      <c r="K2084" s="1">
        <f t="shared" si="2090"/>
        <v>0.11042696048521064</v>
      </c>
      <c r="L2084" s="1">
        <f t="shared" ref="L2084" si="2091">SUM(L2085:L2091)</f>
        <v>0.30039501325096218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6.7366484568596205E-4</v>
      </c>
      <c r="H2085" s="1">
        <f>'[1]Electricity and CHPs_NCAP'!D$25</f>
        <v>3.2804993034795098E-4</v>
      </c>
      <c r="I2085" s="1">
        <f>'[1]Electricity and CHPs_NCAP'!E$25</f>
        <v>2.33579354156465E-3</v>
      </c>
      <c r="J2085" s="1">
        <f>'[2]Electricity and CHPs_NCAP'!F$25</f>
        <v>2.75526870859964E-2</v>
      </c>
      <c r="K2085" s="1">
        <f>'[2]Electricity and CHPs_NCAP'!G$25</f>
        <v>2.5725108754514999E-2</v>
      </c>
      <c r="L2085" s="1">
        <f>'[2]Electricity and CHPs_NCAP'!H$25</f>
        <v>5.4302640699313301E-2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5.9931611611419304E-4</v>
      </c>
      <c r="L2086" s="1">
        <f>'[2]Electricity and CHPs_NCAP'!H$31</f>
        <v>0.14540065864021401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1.3360940420271099E-2</v>
      </c>
      <c r="H2087" s="1">
        <f>'[1]Electricity and CHPs_NCAP'!D$42</f>
        <v>3.12815534922702E-2</v>
      </c>
      <c r="I2087" s="1">
        <f>'[1]Electricity and CHPs_NCAP'!E$42</f>
        <v>4.7887059106327602E-2</v>
      </c>
      <c r="J2087" s="1">
        <f>'[2]Electricity and CHPs_NCAP'!F$42</f>
        <v>5.1367498366013502E-2</v>
      </c>
      <c r="K2087" s="1">
        <f>'[2]Electricity and CHPs_NCAP'!G$42</f>
        <v>3.3216616114561802E-2</v>
      </c>
      <c r="L2087" s="1">
        <f>'[2]Electricity and CHPs_NCAP'!H$42</f>
        <v>6.4343054619247997E-2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2.0894580460141001E-2</v>
      </c>
      <c r="L2088" s="1">
        <f>'[2]Electricity and CHPs_NCAP'!H$43</f>
        <v>3.62914939087573E-2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1.3927684143595729E-4</v>
      </c>
      <c r="J2089" s="1">
        <f>'[2]Electricity and CHPs_NCAP'!F$50</f>
        <v>3.8017480766989998E-4</v>
      </c>
      <c r="K2089" s="1">
        <f>'[2]Electricity and CHPs_NCAP'!G$50</f>
        <v>1.103534585584392E-4</v>
      </c>
      <c r="L2089" s="1">
        <f>'[2]Electricity and CHPs_NCAP'!H$50</f>
        <v>5.2444677385117197E-6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2.4619668007455696E-4</v>
      </c>
      <c r="J2090" s="1">
        <f>'[2]Electricity and CHPs_NCAP'!F$53</f>
        <v>2.56474308630395E-2</v>
      </c>
      <c r="K2090" s="1">
        <f>'[2]Electricity and CHPs_NCAP'!G$53</f>
        <v>2.9878644307745401E-2</v>
      </c>
      <c r="L2090" s="1">
        <f>'[2]Electricity and CHPs_NCAP'!H$53</f>
        <v>1.8726839007140821E-6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2.5563926205390602E-4</v>
      </c>
      <c r="J2091" s="1">
        <f>'[2]Electricity and CHPs_NCAP'!F$56</f>
        <v>1.3429869771695201E-4</v>
      </c>
      <c r="K2091" s="1">
        <f>'[2]Electricity and CHPs_NCAP'!G$56</f>
        <v>2.34127357481761E-6</v>
      </c>
      <c r="L2091" s="1">
        <f>'[2]Electricity and CHPs_NCAP'!H$56</f>
        <v>5.0048231790331401E-5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7.1347297093900097E-3</v>
      </c>
      <c r="H2092" s="1">
        <f t="shared" si="2092"/>
        <v>0.29201248831448601</v>
      </c>
      <c r="I2092" s="1">
        <f t="shared" si="2092"/>
        <v>0.28589390713535401</v>
      </c>
      <c r="J2092" s="1">
        <f t="shared" si="2092"/>
        <v>0.74282620373569996</v>
      </c>
      <c r="K2092" s="1">
        <f t="shared" si="2092"/>
        <v>1.0325616328441799E-5</v>
      </c>
      <c r="L2092" s="1">
        <f t="shared" si="2092"/>
        <v>4.4927947670895501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7.1347297093900097E-3</v>
      </c>
      <c r="H2093" s="1">
        <f>'[1]Electricity and CHPs_NCAP'!D$33</f>
        <v>0.29201248831448601</v>
      </c>
      <c r="I2093" s="1">
        <f>'[1]Electricity and CHPs_NCAP'!E$33</f>
        <v>0.28589390713535401</v>
      </c>
      <c r="J2093" s="1">
        <f>'[2]Electricity and CHPs_NCAP'!F$33</f>
        <v>0.74282620373569996</v>
      </c>
      <c r="K2093" s="1">
        <f>'[2]Electricity and CHPs_NCAP'!G$33</f>
        <v>1.0325616328441799E-5</v>
      </c>
      <c r="L2093" s="1">
        <f>'[2]Electricity and CHPs_NCAP'!H$33</f>
        <v>4.4927947670895501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6.1163047796207915E-4</v>
      </c>
      <c r="H2094" s="1">
        <f t="shared" si="2093"/>
        <v>4.4476915261073771</v>
      </c>
      <c r="I2094" s="1">
        <f t="shared" si="2093"/>
        <v>6.1905492890803924</v>
      </c>
      <c r="J2094" s="1">
        <f t="shared" si="2093"/>
        <v>3.2612888292634361</v>
      </c>
      <c r="K2094" s="1">
        <f t="shared" si="2093"/>
        <v>21.689907559907681</v>
      </c>
      <c r="L2094" s="1">
        <f t="shared" ref="L2094" si="2094">SUM(L2095:L2099)</f>
        <v>15.960428163100215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4.490579305494672E-2</v>
      </c>
      <c r="I2095" s="1">
        <f>'[1]Electricity and CHPs_NCAP'!E$34</f>
        <v>0.22034307666447547</v>
      </c>
      <c r="J2095" s="1">
        <f>'[2]Electricity and CHPs_NCAP'!F$34</f>
        <v>0.60783054214880694</v>
      </c>
      <c r="K2095" s="1">
        <f>'[2]Electricity and CHPs_NCAP'!G$34</f>
        <v>4.7212669283875526</v>
      </c>
      <c r="L2095" s="1">
        <f>'[2]Electricity and CHPs_NCAP'!H$34</f>
        <v>1.8208807323645335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2.0099865908369601E-6</v>
      </c>
      <c r="H2096" s="1">
        <f>'[1]Electricity and CHPs_NCAP'!D$35</f>
        <v>1.76790967767338</v>
      </c>
      <c r="I2096" s="1">
        <f>'[1]Electricity and CHPs_NCAP'!E$35</f>
        <v>2.1224874166294101</v>
      </c>
      <c r="J2096" s="1">
        <f>'[2]Electricity and CHPs_NCAP'!F$35</f>
        <v>1.37873804760527</v>
      </c>
      <c r="K2096" s="1">
        <f>'[2]Electricity and CHPs_NCAP'!G$35</f>
        <v>6.0065758750959901</v>
      </c>
      <c r="L2096" s="1">
        <f>'[2]Electricity and CHPs_NCAP'!H$35</f>
        <v>5.3499915974015302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2.7873040867991032E-4</v>
      </c>
      <c r="H2097" s="1">
        <f>'[1]Electricity and CHPs_NCAP'!D$36</f>
        <v>0.19804164539180591</v>
      </c>
      <c r="I2097" s="1">
        <f>'[1]Electricity and CHPs_NCAP'!E$36</f>
        <v>1.7743120522978684</v>
      </c>
      <c r="J2097" s="1">
        <f>'[2]Electricity and CHPs_NCAP'!F$36</f>
        <v>0.40045933026602598</v>
      </c>
      <c r="K2097" s="1">
        <f>'[2]Electricity and CHPs_NCAP'!G$36</f>
        <v>0.77056065621144598</v>
      </c>
      <c r="L2097" s="1">
        <f>'[2]Electricity and CHPs_NCAP'!H$36</f>
        <v>2.3964363676762082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3.2902293382866467E-4</v>
      </c>
      <c r="H2098" s="1">
        <f>'[1]Electricity and CHPs_NCAP'!D$37</f>
        <v>0.43222928735288446</v>
      </c>
      <c r="I2098" s="1">
        <f>'[1]Electricity and CHPs_NCAP'!E$37</f>
        <v>7.9402545648480701E-3</v>
      </c>
      <c r="J2098" s="1">
        <f>'[2]Electricity and CHPs_NCAP'!F$37</f>
        <v>0.14417253248501691</v>
      </c>
      <c r="K2098" s="1">
        <f>'[2]Electricity and CHPs_NCAP'!G$37</f>
        <v>3.5397323813977701</v>
      </c>
      <c r="L2098" s="1">
        <f>'[2]Electricity and CHPs_NCAP'!H$37</f>
        <v>1.2746666938559521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1.8671488626671899E-6</v>
      </c>
      <c r="H2099" s="1">
        <f>'[1]Electricity and CHPs_NCAP'!D$38</f>
        <v>2.0046051226343602</v>
      </c>
      <c r="I2099" s="1">
        <f>'[1]Electricity and CHPs_NCAP'!E$38</f>
        <v>2.0654664889237901</v>
      </c>
      <c r="J2099" s="1">
        <f>'[2]Electricity and CHPs_NCAP'!F$38</f>
        <v>0.73008837675831695</v>
      </c>
      <c r="K2099" s="1">
        <f>'[2]Electricity and CHPs_NCAP'!G$38</f>
        <v>6.6517717188149197</v>
      </c>
      <c r="L2099" s="1">
        <f>'[2]Electricity and CHPs_NCAP'!H$38</f>
        <v>5.1184527718019899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1.22401381725744E-2</v>
      </c>
      <c r="L2100" s="1">
        <f>'[2]Electricity and CHPs_NCAP'!H$32</f>
        <v>7.1751783007571901E-2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1.22401381725744E-2</v>
      </c>
      <c r="L2101" s="1">
        <f t="shared" ref="L2101" si="2096">L2100</f>
        <v>7.1751783007571901E-2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2.5823633226281801E-3</v>
      </c>
      <c r="J2102" s="1">
        <f t="shared" si="2097"/>
        <v>1.2134668173018185E-3</v>
      </c>
      <c r="K2102" s="1">
        <f t="shared" si="2097"/>
        <v>1.8560193432936817E-2</v>
      </c>
      <c r="L2102" s="1">
        <f t="shared" ref="L2102" si="2098">SUM(L2103:L2105)</f>
        <v>4.526448472884765E-2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7.6410058741667398E-4</v>
      </c>
      <c r="L2103" s="1">
        <f>'[2]Electricity and CHPs_NCAP'!H$30</f>
        <v>3.6827512465647201E-2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1.1209268885622201E-3</v>
      </c>
      <c r="K2104" s="1">
        <f>'[2]Electricity and CHPs_NCAP'!G$46</f>
        <v>1.7498898823704801E-2</v>
      </c>
      <c r="L2104" s="1">
        <f>'[2]Electricity and CHPs_NCAP'!H$46</f>
        <v>7.8655803786950706E-3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2.5823633226281801E-3</v>
      </c>
      <c r="J2105" s="1">
        <f>'[2]Electricity and CHPs_NCAP'!F$57</f>
        <v>9.25399287395984E-5</v>
      </c>
      <c r="K2105" s="1">
        <f>'[2]Electricity and CHPs_NCAP'!G$57</f>
        <v>2.9719402181534101E-4</v>
      </c>
      <c r="L2105" s="1">
        <f>'[2]Electricity and CHPs_NCAP'!H$57</f>
        <v>5.7139188450537398E-4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8.3213570651093194E-2</v>
      </c>
      <c r="G2106" s="1">
        <f t="shared" si="2099"/>
        <v>1.6662921751629407E-4</v>
      </c>
      <c r="H2106" s="1">
        <f t="shared" si="2099"/>
        <v>0.3264184455239591</v>
      </c>
      <c r="I2106" s="1">
        <f t="shared" si="2099"/>
        <v>0.3590642368007631</v>
      </c>
      <c r="J2106" s="1">
        <f t="shared" si="2099"/>
        <v>0.29748853757155408</v>
      </c>
      <c r="K2106" s="1">
        <f t="shared" si="2099"/>
        <v>2.330279315009518</v>
      </c>
      <c r="L2106" s="1">
        <f t="shared" ref="L2106" si="2100">SUM(L2107:L2113)</f>
        <v>2.1718307369857772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9.8710089689859603E-6</v>
      </c>
      <c r="H2107" s="1">
        <f>'[1]Electricity and CHPs_NCAP'!D$63</f>
        <v>1.01942253928081E-5</v>
      </c>
      <c r="I2107" s="1">
        <f>'[1]Electricity and CHPs_NCAP'!E$63</f>
        <v>9.7242591239973706E-6</v>
      </c>
      <c r="J2107" s="1">
        <f>'[2]Electricity and CHPs_NCAP'!F$63</f>
        <v>1.3683099323895099E-6</v>
      </c>
      <c r="K2107" s="1">
        <f>'[2]Electricity and CHPs_NCAP'!G$63</f>
        <v>1.7482820976886399E-6</v>
      </c>
      <c r="L2107" s="1">
        <f>'[2]Electricity and CHPs_NCAP'!H$63</f>
        <v>1.1017229183443101E-6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1.2706960992768201E-2</v>
      </c>
      <c r="G2108" s="1">
        <f>'[1]Electricity and CHPs_NCAP'!C$64</f>
        <v>2.2776678607035101E-5</v>
      </c>
      <c r="H2108" s="1">
        <f>'[1]Electricity and CHPs_NCAP'!D$64</f>
        <v>1.65505083251737E-4</v>
      </c>
      <c r="I2108" s="1">
        <f>'[1]Electricity and CHPs_NCAP'!E$64</f>
        <v>2.24933384207151E-2</v>
      </c>
      <c r="J2108" s="1">
        <f>'[2]Electricity and CHPs_NCAP'!F$64</f>
        <v>2.59889728359563E-2</v>
      </c>
      <c r="K2108" s="1">
        <f>'[2]Electricity and CHPs_NCAP'!G$64</f>
        <v>1.08768877406064</v>
      </c>
      <c r="L2108" s="1">
        <f>'[2]Electricity and CHPs_NCAP'!H$64</f>
        <v>0.56736001561687399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9.6401009126476107E-3</v>
      </c>
      <c r="G2109" s="1">
        <f>'[1]Electricity and CHPs_NCAP'!C$65</f>
        <v>1.6638496562853701E-5</v>
      </c>
      <c r="H2109" s="1">
        <f>'[1]Electricity and CHPs_NCAP'!D$65</f>
        <v>1.19894829257338E-4</v>
      </c>
      <c r="I2109" s="1">
        <f>'[1]Electricity and CHPs_NCAP'!E$65</f>
        <v>1.0479613311352101E-2</v>
      </c>
      <c r="J2109" s="1">
        <f>'[2]Electricity and CHPs_NCAP'!F$65</f>
        <v>2.1727470519249101E-2</v>
      </c>
      <c r="K2109" s="1">
        <f>'[2]Electricity and CHPs_NCAP'!G$65</f>
        <v>0.199173030589162</v>
      </c>
      <c r="L2109" s="1">
        <f>'[2]Electricity and CHPs_NCAP'!H$65</f>
        <v>0.52730200725075005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1.00410939041946E-2</v>
      </c>
      <c r="G2110" s="1">
        <f>'[1]Electricity and CHPs_NCAP'!C$66</f>
        <v>1.8785329182832801E-5</v>
      </c>
      <c r="H2110" s="1">
        <f>'[1]Electricity and CHPs_NCAP'!D$66</f>
        <v>6.1457699811451397E-2</v>
      </c>
      <c r="I2110" s="1">
        <f>'[1]Electricity and CHPs_NCAP'!E$66</f>
        <v>4.6053601755835998E-2</v>
      </c>
      <c r="J2110" s="1">
        <f>'[2]Electricity and CHPs_NCAP'!F$66</f>
        <v>5.5881601519179397E-2</v>
      </c>
      <c r="K2110" s="1">
        <f>'[2]Electricity and CHPs_NCAP'!G$66</f>
        <v>0.189286652461266</v>
      </c>
      <c r="L2110" s="1">
        <f>'[2]Electricity and CHPs_NCAP'!H$66</f>
        <v>0.20282162795374001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2.1180689472327201E-2</v>
      </c>
      <c r="G2111" s="1">
        <f>'[1]Electricity and CHPs_NCAP'!C$67</f>
        <v>4.32396374258433E-5</v>
      </c>
      <c r="H2111" s="1">
        <f>'[1]Electricity and CHPs_NCAP'!D$67</f>
        <v>0.1320948586757755</v>
      </c>
      <c r="I2111" s="1">
        <f>'[1]Electricity and CHPs_NCAP'!E$67</f>
        <v>0.18690264250508282</v>
      </c>
      <c r="J2111" s="1">
        <f>'[2]Electricity and CHPs_NCAP'!F$67</f>
        <v>9.3062635309498903E-2</v>
      </c>
      <c r="K2111" s="1">
        <f>'[2]Electricity and CHPs_NCAP'!G$67</f>
        <v>0.27115394372969703</v>
      </c>
      <c r="L2111" s="1">
        <f>'[2]Electricity and CHPs_NCAP'!H$67</f>
        <v>0.33894586080164102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1.9198317434659079E-2</v>
      </c>
      <c r="G2112" s="1">
        <f>'[1]Electricity and CHPs_NCAP'!C$68</f>
        <v>3.4923649636720602E-5</v>
      </c>
      <c r="H2112" s="1">
        <f>'[1]Electricity and CHPs_NCAP'!D$68</f>
        <v>1.7526191616338321E-2</v>
      </c>
      <c r="I2112" s="1">
        <f>'[1]Electricity and CHPs_NCAP'!E$68</f>
        <v>5.9699228842563096E-3</v>
      </c>
      <c r="J2112" s="1">
        <f>'[2]Electricity and CHPs_NCAP'!F$68</f>
        <v>2.23539161470785E-2</v>
      </c>
      <c r="K2112" s="1">
        <f>'[2]Electricity and CHPs_NCAP'!G$68</f>
        <v>0.16555603108638439</v>
      </c>
      <c r="L2112" s="1">
        <f>'[2]Electricity and CHPs_NCAP'!H$68</f>
        <v>0.1457752462687254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1.0446407934496501E-2</v>
      </c>
      <c r="G2113" s="1">
        <f>'[1]Electricity and CHPs_NCAP'!C$69</f>
        <v>2.03944171320226E-5</v>
      </c>
      <c r="H2113" s="1">
        <f>'[1]Electricity and CHPs_NCAP'!D$69</f>
        <v>0.115044101282492</v>
      </c>
      <c r="I2113" s="1">
        <f>'[1]Electricity and CHPs_NCAP'!E$69</f>
        <v>8.7155393664396799E-2</v>
      </c>
      <c r="J2113" s="1">
        <f>'[2]Electricity and CHPs_NCAP'!F$69</f>
        <v>7.8472572930659498E-2</v>
      </c>
      <c r="K2113" s="1">
        <f>'[2]Electricity and CHPs_NCAP'!G$69</f>
        <v>0.41741913480027099</v>
      </c>
      <c r="L2113" s="1">
        <f>'[2]Electricity and CHPs_NCAP'!H$69</f>
        <v>0.389624877371128</v>
      </c>
      <c r="N2113" s="1"/>
    </row>
    <row r="2114" spans="2:14" x14ac:dyDescent="0.35">
      <c r="B2114" s="5" t="str">
        <f>SPS2_SOC_Low!B1902</f>
        <v>SPS1</v>
      </c>
      <c r="C2114" s="5" t="str">
        <f>SPS2_SOC_Low!C1902</f>
        <v>CH</v>
      </c>
      <c r="D2114" s="2" t="s">
        <v>2243</v>
      </c>
      <c r="E2114" s="2" t="s">
        <v>1972</v>
      </c>
      <c r="F2114" s="3">
        <f t="shared" ref="F2114:K2114" si="2101">SUM(F2115:F2164)</f>
        <v>3.4904827406947738E-3</v>
      </c>
      <c r="G2114" s="3">
        <f t="shared" si="2101"/>
        <v>0.45156349260147743</v>
      </c>
      <c r="H2114" s="3">
        <f t="shared" si="2101"/>
        <v>0.8955194455642671</v>
      </c>
      <c r="I2114" s="3">
        <f t="shared" si="2101"/>
        <v>2.0692751379728143</v>
      </c>
      <c r="J2114" s="3">
        <f t="shared" si="2101"/>
        <v>3.1847503633047909</v>
      </c>
      <c r="K2114" s="3">
        <f t="shared" si="2101"/>
        <v>2.1831414679639862</v>
      </c>
      <c r="L2114" s="3">
        <f t="shared" ref="L2114" si="2102">SUM(L2115:L2164)</f>
        <v>4.6669908688057236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9.4895089848303195E-4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1.5139383780664499E-3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1.52900018633736E-3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0.13274624474909699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0.208380873951095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0.144536168798753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0.29851078141436699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5.2628818581012897E-4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2.0499909564197102E-3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5.1972863012349196E-3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0.58559968210585001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1.22695893980614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0.71264709497831602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1.4966889311762901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7.90774924322943E-4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1.7076925098765201E-2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5.5601956747644898E-2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1.5758596419597402E-2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7.6778200997328794E-2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0.60115567924397495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0.83005982955948598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1.2244687320786701E-3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6.3712446320510596E-2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0.20760759458165901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0.80138380440179702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0.93740258058152504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0.724794761921567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2.0417220386266002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1.1244011713525701E-3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8.8086144536764395E-4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4.2990255505166303E-3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4.2365589344298398E-4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5.1293515601592799E-4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1.1782705557176799E-3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4.1021882856253598E-3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2.0345854207082701E-3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1.53539220529198E-2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4.8786536552920999E-2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0.29551064754124901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0.39777983791945498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3.0318836744398E-3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2.87303237055383E-3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5.1656316952394697E-3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1.12743784078174E-3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1.13680007949305E-3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8.7924119738218699E-4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4.5134735333671201E-3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4.2844966299521398E-4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6.8165981705873397E-4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1.3241344522857E-3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4.1641228181132101E-3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2.2688433384771599E-3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1.17205678542446E-2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4.8057431120459702E-2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0.20184916740907299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0.32992340636908701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3.5154114790280099E-3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3.1827842165952701E-3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5.2868389030913902E-3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1.2390777286654701E-3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5.6101829186112801E-5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2.3388944830787099E-5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7.4477061366875901E-6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1.2461400678052501E-6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2.2561319610903201E-6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2.1716945166462899E-6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2.8655381498174701E-5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1.9556933205026201E-5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7.3188824753863398E-6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1.13352069795679E-6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1.9011516385099799E-6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2.2540099969543598E-6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2.2842811309806201E-5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1.4591577816206499E-5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5.9779438642896097E-6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9.6317240917958106E-7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1.62664728914489E-6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2.20373873514616E-6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3.2628693302436003E-5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1.92985430881426E-5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7.2573855161160399E-6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1.13096191395699E-6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1.9790904864633501E-6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2.6585857305866601E-6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2.7019270698739432E-3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1.4207171537137771E-3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1.1936449601459239E-3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1.1522497578897933E-2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9.6215905603701468E-2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6.1550774638277899E-4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0.16803719350979848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1.1926755530829681E-3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3.7498539235423302E-4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1.8460111312572759E-3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1.2528345471352889E-3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4.8590419379662502E-4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3.0464857768769298E-3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8.48281752601735E-2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6.0685793614459601E-4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6.1330812602888504E-4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3.0102576980221001E-2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2.8656457429568902E-4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9.9954810404871697E-4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6.5823200721078102E-3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2.27282946188675E-4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6.9855124588349895E-4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0.171451736459135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3.1951245703016403E-4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3.1861209575087301E-4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4.9356385671939305E-4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4.6272560479405602E-4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1.6310258839733201E-4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3.6591970991256599E-4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2.4338677524886099E-4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1.77609523635485E-4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3.3092130425557698E-4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1.9483607305095801E-4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2.4193715345735599E-4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5.0507953656970801E-4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2.6739176910912102E-4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2.1027764323517415E-2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1.509305297480604E-3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8.2174932475530607E-4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0.11193716895247814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0.11694101758186667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4.4949424184307702E-4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1.4735771177534071E-3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8.1817874405186908E-4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2.9439599741699999E-4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2.0988137842339579E-3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9.401725178008369E-4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3.0742562287498901E-4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1.3694529659707599E-3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9.0140500855202799E-4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3.1066826950986001E-4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3.6309192882825401E-4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5.3598104140850503E-4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1.67925467339949E-4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3.25554122058093E-4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3.7565867712577799E-4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1.33004575545041E-4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1.4318397899596501E-4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2.23456444346219E-4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1.21360931307686E-4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2.8117851035941303E-4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3.9614217116034403E-4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3.5707814689522199E-4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1.49505281852152E-4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2.82748697735677E-4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1.9282859071547201E-4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1.5651154429672701E-4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2.4726582929399202E-4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1.5233443295633599E-4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1.3500130498491801E-4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2.0120875051613099E-4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1.34880904344834E-4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4.5266687483208297E-5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5.1571661629886503E-5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3.7893429035077198E-5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3.4153313293212902E-5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5.2802614511805299E-5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3.4823162589783002E-5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4.2165185010571899E-5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6.1600997243597399E-5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3.5210872990832798E-5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4.3208942843573597E-5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6.3537765715635102E-5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3.8038243543099198E-5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SPS2_SOC_Low!B1953</f>
        <v>SPS1</v>
      </c>
      <c r="C2165" s="5" t="str">
        <f>SPS2_SOC_Low!C1953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0.77820483549751673</v>
      </c>
      <c r="H2165" s="3">
        <f t="shared" si="2109"/>
        <v>1.5119622423368613</v>
      </c>
      <c r="I2165" s="3">
        <f t="shared" si="2109"/>
        <v>6.4172506886584566</v>
      </c>
      <c r="J2165" s="3">
        <f t="shared" si="2109"/>
        <v>5.1443245224466194</v>
      </c>
      <c r="K2165" s="3">
        <f t="shared" si="2109"/>
        <v>2.2788238468144426</v>
      </c>
      <c r="L2165" s="3">
        <f t="shared" ref="L2165" si="2110">SUM(L2166:L2188)</f>
        <v>6.0196575204482121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0.24607180248566202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0.11511042041621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1.9691755137007998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2.55806261603496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0.13215190943212499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2.0275504124143997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3.4747571775905199E-2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9.3141580760296494E-2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0.65009304938274703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0.69053475732815206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0.13762392831533199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0.70049600913920007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2.6714238129570401E-2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6.6774502231749203E-2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3.4286798465123902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1.8800534003037401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1.7618467054725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3.2911677400006001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6.0750574826761196E-3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7.0437925116413006E-3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0.367363112513927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9.9066238066310695E-4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9.5793578992639896E-4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4.0590919984579999E-4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5.3291842188817105E-4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3.7919025856858003E-5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2.3629636931920201E-5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2.53664299967445E-5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2.2063892831637101E-4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1.2083264169762099E-5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2.33164544170535E-4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1.2518264682880701E-4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0.13191418111123498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2.86042525249641E-2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1.14051132886682E-4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8.1619494601475708E-5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9.6735503192903403E-5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6.4745554116840401E-3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7.4186102812729303E-3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2.89623736123185E-5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5.4120483692191406E-5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7.5765616300968695E-3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5.1677034530114505E-3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2.53157270638397E-4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2.4084892996343901E-4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0.273607307003089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0.37842408511320802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3.97888148220887E-5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3.4369578683462998E-3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0.24212061761473899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1.0076138085787199E-2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5.32176797480527E-2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1.19077856716646E-3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1.4479937777187801E-3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2.2551065255541902E-2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0.73383923175598997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5.8579149177134403E-4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6.3552083668181908E-4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2.8238334902776799E-4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3.0109913260809804E-4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2.4536977991481497E-5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5.6445415488061104E-5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4.1261436332438703E-5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6.6904024722344501E-3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6.15267661752623E-3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4.05393515508951E-4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7.3497314281571694E-3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1.0185063444185299E-3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2.7243064981941202E-3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5.5728982283078298E-3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1.5396974258836E-4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1.0899975567127001E-3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4.3811857112853399E-4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2.3779028944992601E-3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1.08807253855762E-2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4.3880139559581495E-5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7.7998310620123806E-4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3.33003368308255E-4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6.8204641675086099E-5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7.2135246483347499E-5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4.5641684030385203E-5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4.4900071189807996E-5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3.3860231414057097E-5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0.56542402882585352</v>
      </c>
      <c r="H2189" s="3">
        <f t="shared" si="2113"/>
        <v>0.27332898039280246</v>
      </c>
      <c r="I2189" s="3">
        <f t="shared" si="2113"/>
        <v>2.8712201030356246</v>
      </c>
      <c r="J2189" s="3">
        <f t="shared" si="2113"/>
        <v>1.9859937097875229</v>
      </c>
      <c r="K2189" s="3">
        <f t="shared" si="2113"/>
        <v>0.94928288290098495</v>
      </c>
      <c r="L2189" s="3">
        <f t="shared" ref="L2189" si="2114">SUM(L2190:L2212)</f>
        <v>2.0724673287339126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3.4795533847902599E-2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4.0382270139361805E-2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1.3882826467968601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1.2104428270730301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4.6298935237354302E-2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1.0576150059814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1.20839400856194E-2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1.8752707353731E-2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1.2227157285663399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0.63135883884330402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0.60601150853319496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0.80056825339420901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5.4182511376356301E-3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7.1780910227927002E-3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0.25490845542920504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0.12964266513072101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0.134148581023395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0.21387009669415499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3.1037136138987198E-3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2.68665034746447E-3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2.6357402782433799E-3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8.3879394007762003E-4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8.7109420413220397E-4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3.6173365120347996E-4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2.4352650618957299E-4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3.22351844942796E-5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1.9813992145047997E-5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2.41067596836287E-5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2.9779102615912505E-4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4.4828274458532703E-4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2.3529031821367001E-5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2.43253390796362E-5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2.8132253261760801E-5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1.2600969072513199E-4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7.7768263973979013E-2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1.9587080169810402E-2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2.5439386161630999E-4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5.9402355110384401E-5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6.7879776881677497E-5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7.6129508442832504E-3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6.1795812980324407E-3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2.2678441866921299E-4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3.3574352271379196E-5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5.4440785538470704E-5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2.8996349118833101E-3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2.3215845547976698E-3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3.8270410288597799E-4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1.6117593302438098E-5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3.3725620469889897E-5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4.5408025436033801E-4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4.7034541450022803E-4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1.16665751347633E-4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0.39533223932779099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0.14438293564874199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6.4406099335119292E-5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5.99817226290597E-3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0.155396700951144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1.0420127307786801E-2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1.4409400188122401E-2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1.08885702030024E-5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2.5215573944080897E-3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2.7921306299802397E-3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3.7787551295643501E-3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3.9811475000673703E-3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3.3077960475755599E-5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1.2651396993651599E-3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1.1733803636858799E-3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4.73077310820733E-4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6.7610274839163007E-4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5.3707013805286198E-5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1.03772369995931E-4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6.50633924543681E-5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6.1925291255856699E-3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4.8771289840161894E-3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1.7475064065903401E-4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1.43581525951362E-3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1.3608766899543602E-3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3.0337087329467003E-3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4.2068283311581401E-3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9.7472314277058497E-5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9.2579560358873193E-4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5.2648336610626705E-4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1.8196409797684898E-3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2.7354439618993399E-3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9.6631523940386306E-5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1.2302120965881598E-3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4.0364870497915399E-4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2.3758224202754901E-4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5.01682729914602E-4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5.0439740103103202E-5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6.5261597024584498E-5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3.4294290489566606E-5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1.84436336268901E-2</v>
      </c>
      <c r="G2213" s="3">
        <f t="shared" si="2117"/>
        <v>16.659231045505425</v>
      </c>
      <c r="H2213" s="3">
        <f t="shared" si="2117"/>
        <v>62.971445763322265</v>
      </c>
      <c r="I2213" s="3">
        <f t="shared" si="2117"/>
        <v>169.04831432614651</v>
      </c>
      <c r="J2213" s="3">
        <f t="shared" si="2117"/>
        <v>242.47480597949036</v>
      </c>
      <c r="K2213" s="3">
        <f t="shared" si="2117"/>
        <v>196.36160764525624</v>
      </c>
      <c r="L2213" s="3">
        <f t="shared" ref="L2213" si="2118">SUM(L2214:L2222)</f>
        <v>366.73588055463648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3.6409147471264101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2.90338983637267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137.17751973106601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242.47418871715502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196.360894202754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366.73509708518498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1.60291462169273E-2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3.5189101523637701E-3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6.1726233533807896E-4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7.1344250224729898E-4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7.83469451492994E-4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5.8825364516143805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12.623609637119001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27.594327152662903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0.35239796044041399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1.64591006130717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0.80739535086164804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45.7518780656399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3.4302271659534904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1.84436336268901E-2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4.3630346972742297E-2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3.06290166665955E-2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3.5326015450105906E-2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3.3073416836613889</v>
      </c>
      <c r="H2223" s="3">
        <f t="shared" si="2119"/>
        <v>9.431179644205848</v>
      </c>
      <c r="I2223" s="3">
        <f t="shared" si="2119"/>
        <v>26.447726918016738</v>
      </c>
      <c r="J2223" s="3">
        <f t="shared" si="2119"/>
        <v>40.494223439336778</v>
      </c>
      <c r="K2223" s="3">
        <f t="shared" si="2119"/>
        <v>21.792557960087386</v>
      </c>
      <c r="L2223" s="3">
        <f t="shared" ref="L2223" si="2120">SUM(L2224:L2232)</f>
        <v>49.625408654069282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9.1762928364311103E-2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0.11109491548235499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14.0495135664084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8.4725554653930288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17.554694760295398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49.6235450640918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4.0258976701460997E-3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3.8834709868793699E-3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6.7609010957936496E-3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2.0314681072362002E-3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9.2523715846608908E-4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1.8635899774840899E-3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1.8992037766939498E-2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2.4883996860271498E-2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2.3297285450451701E-2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4.06261016087459E-3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2.5040539324080501E-3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9.2671659425573303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12.3072541278093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31.914026813875097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4.18474831248807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7.8394275018420102E-3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2.4151318319011499E-2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6.09010372527935E-2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0.10154708180054201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4.9685596213043998E-2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SPS2_SOC_Low!B1822</f>
        <v>SPS1</v>
      </c>
      <c r="C2233" s="5" t="str">
        <f>SPS2_SOC_Low!C1822</f>
        <v>CH</v>
      </c>
      <c r="D2233" s="2" t="s">
        <v>2367</v>
      </c>
      <c r="E2233" s="2" t="s">
        <v>1858</v>
      </c>
      <c r="F2233" s="3">
        <f t="shared" ref="F2233:K2233" si="2121">SUM(F2234,F2253)</f>
        <v>9.2747951800423026E-4</v>
      </c>
      <c r="G2233" s="3">
        <f t="shared" si="2121"/>
        <v>0.80505452541160993</v>
      </c>
      <c r="H2233" s="3">
        <f t="shared" si="2121"/>
        <v>1.7108824609429929</v>
      </c>
      <c r="I2233" s="3">
        <f t="shared" si="2121"/>
        <v>1.5949431058196593</v>
      </c>
      <c r="J2233" s="3">
        <f t="shared" si="2121"/>
        <v>3.322282383139247</v>
      </c>
      <c r="K2233" s="3">
        <f t="shared" si="2121"/>
        <v>4.3274907827422693</v>
      </c>
      <c r="L2233" s="3">
        <f t="shared" ref="L2233" si="2122">SUM(L2234,L2253)</f>
        <v>4.0553564082431333</v>
      </c>
      <c r="N2233" s="1"/>
    </row>
    <row r="2234" spans="2:14" x14ac:dyDescent="0.35">
      <c r="B2234" s="5" t="str">
        <f>SPS2_SOC_Low!B1822</f>
        <v>SPS1</v>
      </c>
      <c r="C2234" s="5" t="str">
        <f>SPS2_SOC_Low!C1822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4.1194662357761994E-4</v>
      </c>
      <c r="G2234" s="1">
        <f t="shared" si="2123"/>
        <v>0.64783891011473771</v>
      </c>
      <c r="H2234" s="1">
        <f t="shared" si="2123"/>
        <v>1.5197995010772416</v>
      </c>
      <c r="I2234" s="1">
        <f t="shared" si="2123"/>
        <v>1.2764687265439361</v>
      </c>
      <c r="J2234" s="1">
        <f t="shared" si="2123"/>
        <v>2.563143592994428</v>
      </c>
      <c r="K2234" s="1">
        <f t="shared" si="2123"/>
        <v>3.3879748674974799</v>
      </c>
      <c r="L2234" s="1">
        <f t="shared" ref="L2234" si="2124">SUM(L2235,L2238,L2240,L2243,L2245,L2247,L2249,L2251)</f>
        <v>2.9692526501501604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5.4120514479951917E-5</v>
      </c>
      <c r="G2235" s="1">
        <f t="shared" si="2125"/>
        <v>0.29034000911980073</v>
      </c>
      <c r="H2235" s="1">
        <f t="shared" si="2125"/>
        <v>0.91442057778673369</v>
      </c>
      <c r="I2235" s="1">
        <f t="shared" si="2125"/>
        <v>0.63297895948195371</v>
      </c>
      <c r="J2235" s="1">
        <f t="shared" si="2125"/>
        <v>1.636534796632495</v>
      </c>
      <c r="K2235" s="1">
        <f t="shared" si="2125"/>
        <v>1.961780781753081</v>
      </c>
      <c r="L2235" s="1">
        <f t="shared" ref="L2235" si="2126">SUM(L2236:L2237)</f>
        <v>2.1481442777115003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3.6407416260595233E-5</v>
      </c>
      <c r="G2236" s="1" cm="1">
        <f t="array" ref="G2236">SUMPRODUCT(([1]OUT_FinalEnergyCons!$B$4:$B$10000="var_ncap")*1,(ISNUMBER(SEARCH("RH*-SHELCBR",[1]OUT_FinalEnergyCons!$A$4:$A$10000)))*1,[1]OUT_FinalEnergyCons!E$4:E$10000)</f>
        <v>6.213355432844983E-2</v>
      </c>
      <c r="H2236" s="1" cm="1">
        <f t="array" ref="H2236">SUMPRODUCT(([1]OUT_FinalEnergyCons!$B$4:$B$10000="var_ncap")*1,(ISNUMBER(SEARCH("RH*-SHELCBR",[1]OUT_FinalEnergyCons!$A$4:$A$10000)))*1,[1]OUT_FinalEnergyCons!F$4:F$10000)</f>
        <v>9.38648539870647E-6</v>
      </c>
      <c r="I2236" s="1" cm="1">
        <f t="array" ref="I2236">SUMPRODUCT(([1]OUT_FinalEnergyCons!$B$4:$B$10000="var_ncap")*1,(ISNUMBER(SEARCH("RH*-SHELCBR",[1]OUT_FinalEnergyCons!$A$4:$A$10000)))*1,[1]OUT_FinalEnergyCons!G$4:G$10000)</f>
        <v>1.765937001825684E-5</v>
      </c>
      <c r="J2236" s="1" cm="1">
        <f t="array" ref="J2236">SUMPRODUCT(([2]OUT_FinalEnergyCons!$B$4:$B$10000="var_ncap")*1,(ISNUMBER(SEARCH("RH*-SHELCBR",[2]OUT_FinalEnergyCons!$A$4:$A$10000)))*1,[2]OUT_FinalEnergyCons!H$4:H$10000)</f>
        <v>5.3176153635849099E-3</v>
      </c>
      <c r="K2236" s="1" cm="1">
        <f t="array" ref="K2236">SUMPRODUCT(([2]OUT_FinalEnergyCons!$B$4:$B$10000="var_ncap")*1,(ISNUMBER(SEARCH("RH*-SHELCBR",[2]OUT_FinalEnergyCons!$A$4:$A$10000)))*1,[2]OUT_FinalEnergyCons!I$4:I$10000)</f>
        <v>7.0761165773428503E-4</v>
      </c>
      <c r="L2236" s="1" cm="1">
        <f t="array" ref="L2236">SUMPRODUCT(([2]OUT_FinalEnergyCons!$B$4:$B$10000="var_ncap")*1,(ISNUMBER(SEARCH("RH*-SHELCBR",[2]OUT_FinalEnergyCons!$A$4:$A$10000)))*1,[2]OUT_FinalEnergyCons!J$4:J$10000)</f>
        <v>2.186946707901032E-4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1.7713098219356688E-5</v>
      </c>
      <c r="G2237" s="1" cm="1">
        <f t="array" ref="G2237">SUMPRODUCT(([1]OUT_FinalEnergyCons!$B$4:$B$10000="var_ncap")*1,ISNUMBER(SEARCH("RH*-SHELCHP",[1]OUT_FinalEnergyCons!$A$4:$A$10000))*1,[1]OUT_FinalEnergyCons!E$4:E$10000)</f>
        <v>0.22820645479135093</v>
      </c>
      <c r="H2237" s="1" cm="1">
        <f t="array" ref="H2237">SUMPRODUCT(([1]OUT_FinalEnergyCons!$B$4:$B$10000="var_ncap")*1,ISNUMBER(SEARCH("RH*-SHELCHP",[1]OUT_FinalEnergyCons!$A$4:$A$10000))*1,[1]OUT_FinalEnergyCons!F$4:F$10000)</f>
        <v>0.91441119130133497</v>
      </c>
      <c r="I2237" s="1" cm="1">
        <f t="array" ref="I2237">SUMPRODUCT(([1]OUT_FinalEnergyCons!$B$4:$B$10000="var_ncap")*1,ISNUMBER(SEARCH("RH*-SHELCHP",[1]OUT_FinalEnergyCons!$A$4:$A$10000))*1,[1]OUT_FinalEnergyCons!G$4:G$10000)</f>
        <v>0.63296130011193541</v>
      </c>
      <c r="J2237" s="1" cm="1">
        <f t="array" ref="J2237">SUMPRODUCT(([2]OUT_FinalEnergyCons!$B$4:$B$10000="var_ncap")*1,ISNUMBER(SEARCH("RH*-SHELCHP",[2]OUT_FinalEnergyCons!$A$4:$A$10000))*1,[2]OUT_FinalEnergyCons!H$4:H$10000)</f>
        <v>1.63121718126891</v>
      </c>
      <c r="K2237" s="1" cm="1">
        <f t="array" ref="K2237">SUMPRODUCT(([2]OUT_FinalEnergyCons!$B$4:$B$10000="var_ncap")*1,ISNUMBER(SEARCH("RH*-SHELCHP",[2]OUT_FinalEnergyCons!$A$4:$A$10000))*1,[2]OUT_FinalEnergyCons!I$4:I$10000)</f>
        <v>1.9610731700953468</v>
      </c>
      <c r="L2237" s="1" cm="1">
        <f t="array" ref="L2237">SUMPRODUCT(([2]OUT_FinalEnergyCons!$B$4:$B$10000="var_ncap")*1,ISNUMBER(SEARCH("RH*-SHELCHP",[2]OUT_FinalEnergyCons!$A$4:$A$10000))*1,[2]OUT_FinalEnergyCons!J$4:J$10000)</f>
        <v>2.1479255830407102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1.138888488163087E-3</v>
      </c>
      <c r="H2238" s="1">
        <f t="shared" si="2130"/>
        <v>4.7674332778100986E-2</v>
      </c>
      <c r="I2238" s="1">
        <f t="shared" si="2130"/>
        <v>1.0970702233641169E-5</v>
      </c>
      <c r="J2238" s="1">
        <f t="shared" si="2130"/>
        <v>0.10180170237789951</v>
      </c>
      <c r="K2238" s="1">
        <f t="shared" si="2130"/>
        <v>0.22909179772251898</v>
      </c>
      <c r="L2238" s="1">
        <f t="shared" si="2130"/>
        <v>4.9062458524845799E-7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1.138888488163087E-3</v>
      </c>
      <c r="H2239" s="1" cm="1">
        <f t="array" ref="H2239">SUMPRODUCT(([1]OUT_FinalEnergyCons!$B$4:$B$10000="var_ncap")*1, (ISNUMBER(SEARCH("RH*-SHLFOBR",[1]OUT_FinalEnergyCons!$A$4:$A$10000)))*1,[1]OUT_FinalEnergyCons!F$4:F$10000)</f>
        <v>4.7674332778100986E-2</v>
      </c>
      <c r="I2239" s="1" cm="1">
        <f t="array" ref="I2239">SUMPRODUCT(([1]OUT_FinalEnergyCons!$B$4:$B$10000="var_ncap")*1, (ISNUMBER(SEARCH("RH*-SHLFOBR",[1]OUT_FinalEnergyCons!$A$4:$A$10000)))*1,[1]OUT_FinalEnergyCons!G$4:G$10000)</f>
        <v>1.0970702233641169E-5</v>
      </c>
      <c r="J2239" s="1" cm="1">
        <f t="array" ref="J2239">SUMPRODUCT(([2]OUT_FinalEnergyCons!$B$4:$B$10000="var_ncap")*1, (ISNUMBER(SEARCH("RH*-SHLFOBR",[2]OUT_FinalEnergyCons!$A$4:$A$10000)))*1,[2]OUT_FinalEnergyCons!H$4:H$10000)</f>
        <v>0.10180170237789951</v>
      </c>
      <c r="K2239" s="1" cm="1">
        <f t="array" ref="K2239">SUMPRODUCT(([2]OUT_FinalEnergyCons!$B$4:$B$10000="var_ncap")*1, (ISNUMBER(SEARCH("RH*-SHLFOBR",[2]OUT_FinalEnergyCons!$A$4:$A$10000)))*1,[2]OUT_FinalEnergyCons!I$4:I$10000)</f>
        <v>0.22909179772251898</v>
      </c>
      <c r="L2239" s="1" cm="1">
        <f t="array" ref="L2239">SUMPRODUCT(([2]OUT_FinalEnergyCons!$B$4:$B$10000="var_ncap")*1, (ISNUMBER(SEARCH("RH*-SHLFOBR",[2]OUT_FinalEnergyCons!$A$4:$A$10000)))*1,[2]OUT_FinalEnergyCons!J$4:J$10000)</f>
        <v>4.9062458524845799E-7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2.01254224972051E-6</v>
      </c>
      <c r="G2240" s="1">
        <f t="shared" si="2131"/>
        <v>0.21655892765079268</v>
      </c>
      <c r="H2240" s="1">
        <f t="shared" si="2131"/>
        <v>0.53528124255296095</v>
      </c>
      <c r="I2240" s="1">
        <f t="shared" si="2131"/>
        <v>0.63776859786337536</v>
      </c>
      <c r="J2240" s="1">
        <f t="shared" si="2131"/>
        <v>0.45048983152138522</v>
      </c>
      <c r="K2240" s="1">
        <f t="shared" si="2131"/>
        <v>1.0400273473669517</v>
      </c>
      <c r="L2240" s="1">
        <f t="shared" ref="L2240" si="2132">SUM(L2241:L2242)</f>
        <v>0.78538369116587514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0.21651169035486262</v>
      </c>
      <c r="H2241" s="1" cm="1">
        <f t="array" ref="H2241">SUMPRODUCT(([1]OUT_FinalEnergyCons!$B$4:$B$10000="var_ncap")*1, (ISNUMBER(SEARCH("RH*-SHNGABR",[1]OUT_FinalEnergyCons!$A$4:$A$10000)))*1,[1]OUT_FinalEnergyCons!F$4:F$10000)</f>
        <v>0.14209811073905579</v>
      </c>
      <c r="I2241" s="1" cm="1">
        <f t="array" ref="I2241">SUMPRODUCT(([1]OUT_FinalEnergyCons!$B$4:$B$10000="var_ncap")*1, (ISNUMBER(SEARCH("RH*-SHNGABR",[1]OUT_FinalEnergyCons!$A$4:$A$10000)))*1,[1]OUT_FinalEnergyCons!G$4:G$10000)</f>
        <v>8.8298527770358517E-5</v>
      </c>
      <c r="J2241" s="1" cm="1">
        <f t="array" ref="J2241">SUMPRODUCT(([2]OUT_FinalEnergyCons!$B$4:$B$10000="var_ncap")*1, (ISNUMBER(SEARCH("RH*-SHNGABR",[2]OUT_FinalEnergyCons!$A$4:$A$10000)))*1,[2]OUT_FinalEnergyCons!H$4:H$10000)</f>
        <v>0.20480072145467323</v>
      </c>
      <c r="K2241" s="1" cm="1">
        <f t="array" ref="K2241">SUMPRODUCT(([2]OUT_FinalEnergyCons!$B$4:$B$10000="var_ncap")*1, (ISNUMBER(SEARCH("RH*-SHNGABR",[2]OUT_FinalEnergyCons!$A$4:$A$10000)))*1,[2]OUT_FinalEnergyCons!I$4:I$10000)</f>
        <v>0.25317648242061913</v>
      </c>
      <c r="L2241" s="1" cm="1">
        <f t="array" ref="L2241">SUMPRODUCT(([2]OUT_FinalEnergyCons!$B$4:$B$10000="var_ncap")*1, (ISNUMBER(SEARCH("RH*-SHNGABR",[2]OUT_FinalEnergyCons!$A$4:$A$10000)))*1,[2]OUT_FinalEnergyCons!J$4:J$10000)</f>
        <v>4.2825900066977356E-6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2.01254224972051E-6</v>
      </c>
      <c r="G2242" s="1" cm="1">
        <f t="array" ref="G2242">SUMPRODUCT(([1]OUT_FinalEnergyCons!$B$4:$B$10000="var_ncap")*1,ISNUMBER(SEARCH("RH*-SHngahp",[1]OUT_FinalEnergyCons!$A$4:$A$10000))*1,[1]OUT_FinalEnergyCons!E$4:E$10000)</f>
        <v>4.7237295930073749E-5</v>
      </c>
      <c r="H2242" s="1" cm="1">
        <f t="array" ref="H2242">SUMPRODUCT(([1]OUT_FinalEnergyCons!$B$4:$B$10000="var_ncap")*1,ISNUMBER(SEARCH("RH*-SHngahp",[1]OUT_FinalEnergyCons!$A$4:$A$10000))*1,[1]OUT_FinalEnergyCons!F$4:F$10000)</f>
        <v>0.39318313181390518</v>
      </c>
      <c r="I2242" s="1" cm="1">
        <f t="array" ref="I2242">SUMPRODUCT(([1]OUT_FinalEnergyCons!$B$4:$B$10000="var_ncap")*1,ISNUMBER(SEARCH("RH*-SHngahp",[1]OUT_FinalEnergyCons!$A$4:$A$10000))*1,[1]OUT_FinalEnergyCons!G$4:G$10000)</f>
        <v>0.63768029933560499</v>
      </c>
      <c r="J2242" s="1" cm="1">
        <f t="array" ref="J2242">SUMPRODUCT(([2]OUT_FinalEnergyCons!$B$4:$B$10000="var_ncap")*1,ISNUMBER(SEARCH("RH*-SHngahp",[2]OUT_FinalEnergyCons!$A$4:$A$10000))*1,[2]OUT_FinalEnergyCons!H$4:H$10000)</f>
        <v>0.24568911006671199</v>
      </c>
      <c r="K2242" s="1" cm="1">
        <f t="array" ref="K2242">SUMPRODUCT(([2]OUT_FinalEnergyCons!$B$4:$B$10000="var_ncap")*1,ISNUMBER(SEARCH("RH*-SHngahp",[2]OUT_FinalEnergyCons!$A$4:$A$10000))*1,[2]OUT_FinalEnergyCons!I$4:I$10000)</f>
        <v>0.78685086494633261</v>
      </c>
      <c r="L2242" s="1" cm="1">
        <f t="array" ref="L2242">SUMPRODUCT(([2]OUT_FinalEnergyCons!$B$4:$B$10000="var_ncap")*1,ISNUMBER(SEARCH("RH*-SHngahp",[2]OUT_FinalEnergyCons!$A$4:$A$10000))*1,[2]OUT_FinalEnergyCons!J$4:J$10000)</f>
        <v>0.78537940857586841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1.52472387335808E-4</v>
      </c>
      <c r="G2245" s="1">
        <f t="shared" si="2134"/>
        <v>7.7543987368863199E-2</v>
      </c>
      <c r="H2245" s="1">
        <f t="shared" si="2134"/>
        <v>1.9790847298206411E-2</v>
      </c>
      <c r="I2245" s="1">
        <f t="shared" si="2134"/>
        <v>1.7615711874025338E-5</v>
      </c>
      <c r="J2245" s="1">
        <f t="shared" si="2134"/>
        <v>0.36368451672360913</v>
      </c>
      <c r="K2245" s="1">
        <f t="shared" si="2134"/>
        <v>0.1295686400170861</v>
      </c>
      <c r="L2245" s="1">
        <f t="shared" si="2134"/>
        <v>2.7880339349163293E-2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1.52472387335808E-4</v>
      </c>
      <c r="G2246" s="1" cm="1">
        <f t="array" ref="G2246">SUMPRODUCT(([1]OUT_FinalEnergyCons!$B$4:$B$10000="var_ncap")*1, (ISNUMBER(SEARCH("RH*-SHWODBR",[1]OUT_FinalEnergyCons!$A$4:$A$10000)))*1,[1]OUT_FinalEnergyCons!E$4:E$10000)</f>
        <v>7.7543987368863199E-2</v>
      </c>
      <c r="H2246" s="1" cm="1">
        <f t="array" ref="H2246">SUMPRODUCT(([1]OUT_FinalEnergyCons!$B$4:$B$10000="var_ncap")*1, (ISNUMBER(SEARCH("RH*-SHWODBR",[1]OUT_FinalEnergyCons!$A$4:$A$10000)))*1,[1]OUT_FinalEnergyCons!F$4:F$10000)</f>
        <v>1.9790847298206411E-2</v>
      </c>
      <c r="I2246" s="1" cm="1">
        <f t="array" ref="I2246">SUMPRODUCT(([1]OUT_FinalEnergyCons!$B$4:$B$10000="var_ncap")*1, (ISNUMBER(SEARCH("RH*-SHWODBR",[1]OUT_FinalEnergyCons!$A$4:$A$10000)))*1,[1]OUT_FinalEnergyCons!G$4:G$10000)</f>
        <v>1.7615711874025338E-5</v>
      </c>
      <c r="J2246" s="1" cm="1">
        <f t="array" ref="J2246">SUMPRODUCT(([2]OUT_FinalEnergyCons!$B$4:$B$10000="var_ncap")*1, (ISNUMBER(SEARCH("RH*-SHWODBR",[2]OUT_FinalEnergyCons!$A$4:$A$10000)))*1,[2]OUT_FinalEnergyCons!H$4:H$10000)</f>
        <v>0.36368451672360913</v>
      </c>
      <c r="K2246" s="1" cm="1">
        <f t="array" ref="K2246">SUMPRODUCT(([2]OUT_FinalEnergyCons!$B$4:$B$10000="var_ncap")*1, (ISNUMBER(SEARCH("RH*-SHWODBR",[2]OUT_FinalEnergyCons!$A$4:$A$10000)))*1,[2]OUT_FinalEnergyCons!I$4:I$10000)</f>
        <v>0.1295686400170861</v>
      </c>
      <c r="L2246" s="1" cm="1">
        <f t="array" ref="L2246">SUMPRODUCT(([2]OUT_FinalEnergyCons!$B$4:$B$10000="var_ncap")*1, (ISNUMBER(SEARCH("RH*-SHWODBR",[2]OUT_FinalEnergyCons!$A$4:$A$10000)))*1,[2]OUT_FinalEnergyCons!J$4:J$10000)</f>
        <v>2.7880339349163293E-2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5.1264948726625502E-5</v>
      </c>
      <c r="G2247" s="1">
        <f t="shared" si="2135"/>
        <v>3.6813878425653632E-2</v>
      </c>
      <c r="H2247" s="1">
        <f t="shared" si="2135"/>
        <v>1.0245407485941589E-3</v>
      </c>
      <c r="I2247" s="1">
        <f t="shared" si="2135"/>
        <v>1.1240670542202453E-3</v>
      </c>
      <c r="J2247" s="1">
        <f t="shared" si="2135"/>
        <v>1.0162985839893727E-2</v>
      </c>
      <c r="K2247" s="1">
        <f t="shared" si="2135"/>
        <v>2.213124578998274E-2</v>
      </c>
      <c r="L2247" s="1">
        <f t="shared" si="2135"/>
        <v>6.8875267557798629E-3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5.1264948726625502E-5</v>
      </c>
      <c r="G2248" s="1" cm="1">
        <f t="array" ref="G2248">SUMPRODUCT(([1]OUT_FinalEnergyCons!$B$4:$B$10000="var_ncap")*1, (ISNUMBER(SEARCH("RH*-SHPLTBR",[1]OUT_FinalEnergyCons!$A$4:$A$10000)))*1,[1]OUT_FinalEnergyCons!E$4:E$10000)</f>
        <v>3.6813878425653632E-2</v>
      </c>
      <c r="H2248" s="1" cm="1">
        <f t="array" ref="H2248">SUMPRODUCT(([1]OUT_FinalEnergyCons!$B$4:$B$10000="var_ncap")*1, (ISNUMBER(SEARCH("RH*-SHPLTBR",[1]OUT_FinalEnergyCons!$A$4:$A$10000)))*1,[1]OUT_FinalEnergyCons!F$4:F$10000)</f>
        <v>1.0245407485941589E-3</v>
      </c>
      <c r="I2248" s="1" cm="1">
        <f t="array" ref="I2248">SUMPRODUCT(([1]OUT_FinalEnergyCons!$B$4:$B$10000="var_ncap")*1, (ISNUMBER(SEARCH("RH*-SHPLTBR",[1]OUT_FinalEnergyCons!$A$4:$A$10000)))*1,[1]OUT_FinalEnergyCons!G$4:G$10000)</f>
        <v>1.1240670542202453E-3</v>
      </c>
      <c r="J2248" s="1" cm="1">
        <f t="array" ref="J2248">SUMPRODUCT(([2]OUT_FinalEnergyCons!$B$4:$B$10000="var_ncap")*1, (ISNUMBER(SEARCH("RH*-SHPLTBR",[2]OUT_FinalEnergyCons!$A$4:$A$10000)))*1,[2]OUT_FinalEnergyCons!H$4:H$10000)</f>
        <v>1.0162985839893727E-2</v>
      </c>
      <c r="K2248" s="1" cm="1">
        <f t="array" ref="K2248">SUMPRODUCT(([2]OUT_FinalEnergyCons!$B$4:$B$10000="var_ncap")*1, (ISNUMBER(SEARCH("RH*-SHPLTBR",[2]OUT_FinalEnergyCons!$A$4:$A$10000)))*1,[2]OUT_FinalEnergyCons!I$4:I$10000)</f>
        <v>2.213124578998274E-2</v>
      </c>
      <c r="L2248" s="1" cm="1">
        <f t="array" ref="L2248">SUMPRODUCT(([2]OUT_FinalEnergyCons!$B$4:$B$10000="var_ncap")*1, (ISNUMBER(SEARCH("RH*-SHPLTBR",[2]OUT_FinalEnergyCons!$A$4:$A$10000)))*1,[2]OUT_FinalEnergyCons!J$4:J$10000)</f>
        <v>6.8875267557798629E-3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1.52076230785514E-4</v>
      </c>
      <c r="G2249" s="1">
        <f t="shared" si="2136"/>
        <v>2.544321906146424E-2</v>
      </c>
      <c r="H2249" s="1">
        <f t="shared" si="2136"/>
        <v>1.6079599126453466E-3</v>
      </c>
      <c r="I2249" s="1">
        <f t="shared" si="2136"/>
        <v>4.568515730278922E-3</v>
      </c>
      <c r="J2249" s="1">
        <f t="shared" si="2136"/>
        <v>4.6975989914569501E-4</v>
      </c>
      <c r="K2249" s="1">
        <f t="shared" si="2136"/>
        <v>5.3750548478589608E-3</v>
      </c>
      <c r="L2249" s="1">
        <f t="shared" si="2136"/>
        <v>9.5632454325651284E-4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1.52076230785514E-4</v>
      </c>
      <c r="G2250" s="1" cm="1">
        <f t="array" ref="G2250">SUMPRODUCT(([1]OUT_FinalEnergyCons!$B$4:$B$10000="var_ncap")*1, (ISNUMBER(SEARCH("RH*-SHSOLBR",[1]OUT_FinalEnergyCons!$A$4:$A$10000)))*1,[1]OUT_FinalEnergyCons!E$4:E$10000)</f>
        <v>2.544321906146424E-2</v>
      </c>
      <c r="H2250" s="1" cm="1">
        <f t="array" ref="H2250">SUMPRODUCT(([1]OUT_FinalEnergyCons!$B$4:$B$10000="var_ncap")*1, (ISNUMBER(SEARCH("RH*-SHSOLBR",[1]OUT_FinalEnergyCons!$A$4:$A$10000)))*1,[1]OUT_FinalEnergyCons!F$4:F$10000)</f>
        <v>1.6079599126453466E-3</v>
      </c>
      <c r="I2250" s="1" cm="1">
        <f t="array" ref="I2250">SUMPRODUCT(([1]OUT_FinalEnergyCons!$B$4:$B$10000="var_ncap")*1, (ISNUMBER(SEARCH("RH*-SHSOLBR",[1]OUT_FinalEnergyCons!$A$4:$A$10000)))*1,[1]OUT_FinalEnergyCons!G$4:G$10000)</f>
        <v>4.568515730278922E-3</v>
      </c>
      <c r="J2250" s="1" cm="1">
        <f t="array" ref="J2250">SUMPRODUCT(([2]OUT_FinalEnergyCons!$B$4:$B$10000="var_ncap")*1, (ISNUMBER(SEARCH("RH*-SHSOLBR",[2]OUT_FinalEnergyCons!$A$4:$A$10000)))*1,[2]OUT_FinalEnergyCons!H$4:H$10000)</f>
        <v>4.6975989914569501E-4</v>
      </c>
      <c r="K2250" s="1" cm="1">
        <f t="array" ref="K2250">SUMPRODUCT(([2]OUT_FinalEnergyCons!$B$4:$B$10000="var_ncap")*1, (ISNUMBER(SEARCH("RH*-SHSOLBR",[2]OUT_FinalEnergyCons!$A$4:$A$10000)))*1,[2]OUT_FinalEnergyCons!I$4:I$10000)</f>
        <v>5.3750548478589608E-3</v>
      </c>
      <c r="L2250" s="1" cm="1">
        <f t="array" ref="L2250">SUMPRODUCT(([2]OUT_FinalEnergyCons!$B$4:$B$10000="var_ncap")*1, (ISNUMBER(SEARCH("RH*-SHSOLBR",[2]OUT_FinalEnergyCons!$A$4:$A$10000)))*1,[2]OUT_FinalEnergyCons!J$4:J$10000)</f>
        <v>9.5632454325651284E-4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5.1553289442661033E-4</v>
      </c>
      <c r="G2253" s="1">
        <f t="shared" si="2138"/>
        <v>0.15721561529687225</v>
      </c>
      <c r="H2253" s="1">
        <f t="shared" si="2138"/>
        <v>0.19108295986575141</v>
      </c>
      <c r="I2253" s="1">
        <f t="shared" si="2138"/>
        <v>0.3184743792757232</v>
      </c>
      <c r="J2253" s="1">
        <f t="shared" si="2138"/>
        <v>0.75913879014481922</v>
      </c>
      <c r="K2253" s="1">
        <f t="shared" si="2138"/>
        <v>0.9395159152447895</v>
      </c>
      <c r="L2253" s="1">
        <f t="shared" ref="L2253" si="2139">SUM(L2254,L2257,L2259,L2262,L2264,L2266,L2268,L2270)</f>
        <v>1.0861037580929731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5.1553289442661033E-4</v>
      </c>
      <c r="G2254" s="1">
        <f t="shared" si="2140"/>
        <v>6.72384169139537E-2</v>
      </c>
      <c r="H2254" s="1">
        <f t="shared" si="2140"/>
        <v>7.9381326181032663E-2</v>
      </c>
      <c r="I2254" s="1">
        <f t="shared" si="2140"/>
        <v>0.17381021124043577</v>
      </c>
      <c r="J2254" s="1">
        <f t="shared" si="2140"/>
        <v>0.40338005860674964</v>
      </c>
      <c r="K2254" s="1">
        <f t="shared" si="2140"/>
        <v>0.47970033882176372</v>
      </c>
      <c r="L2254" s="1">
        <f t="shared" ref="L2254" si="2141">SUM(L2255:L2256)</f>
        <v>0.67708153349726918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4.8522223533181398E-4</v>
      </c>
      <c r="G2255" s="1" cm="1">
        <f t="array" ref="G2255">SUMPRODUCT(([1]OUT_FinalEnergyCons!$B$4:$B$10000="var_ncap")*1,(ISNUMBER(SEARCH("RH*-WHELCBR",[1]OUT_FinalEnergyCons!$A$4:$A$10000)))*1,[1]OUT_FinalEnergyCons!E$4:E$10000)</f>
        <v>3.42205483671617E-2</v>
      </c>
      <c r="H2255" s="1" cm="1">
        <f t="array" ref="H2255">SUMPRODUCT(([1]OUT_FinalEnergyCons!$B$4:$B$10000="var_ncap")*1,(ISNUMBER(SEARCH("RH*-WHELCBR",[1]OUT_FinalEnergyCons!$A$4:$A$10000)))*1,[1]OUT_FinalEnergyCons!F$4:F$10000)</f>
        <v>6.2666672536612602E-6</v>
      </c>
      <c r="I2255" s="1" cm="1">
        <f t="array" ref="I2255">SUMPRODUCT(([1]OUT_FinalEnergyCons!$B$4:$B$10000="var_ncap")*1,(ISNUMBER(SEARCH("RH*-WHELCBR",[1]OUT_FinalEnergyCons!$A$4:$A$10000)))*1,[1]OUT_FinalEnergyCons!G$4:G$10000)</f>
        <v>1.11083084967643E-5</v>
      </c>
      <c r="J2255" s="1" cm="1">
        <f t="array" ref="J2255">SUMPRODUCT(([2]OUT_FinalEnergyCons!$B$4:$B$10000="var_ncap")*1,(ISNUMBER(SEARCH("RH*-WHELCBR",[2]OUT_FinalEnergyCons!$A$4:$A$10000)))*1,[2]OUT_FinalEnergyCons!H$4:H$10000)</f>
        <v>5.5948129151470599E-2</v>
      </c>
      <c r="K2255" s="1" cm="1">
        <f t="array" ref="K2255">SUMPRODUCT(([2]OUT_FinalEnergyCons!$B$4:$B$10000="var_ncap")*1,(ISNUMBER(SEARCH("RH*-WHELCBR",[2]OUT_FinalEnergyCons!$A$4:$A$10000)))*1,[2]OUT_FinalEnergyCons!I$4:I$10000)</f>
        <v>9.7233342362408701E-2</v>
      </c>
      <c r="L2255" s="1" cm="1">
        <f t="array" ref="L2255">SUMPRODUCT(([2]OUT_FinalEnergyCons!$B$4:$B$10000="var_ncap")*1,(ISNUMBER(SEARCH("RH*-WHELCBR",[2]OUT_FinalEnergyCons!$A$4:$A$10000)))*1,[2]OUT_FinalEnergyCons!J$4:J$10000)</f>
        <v>3.9035426248594102E-2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3.0310659094796301E-5</v>
      </c>
      <c r="G2256" s="1" cm="1">
        <f t="array" ref="G2256">SUMPRODUCT(([1]OUT_FinalEnergyCons!$B$4:$B$10000="var_ncap")*1,ISNUMBER(SEARCH("RH*-WHELCHP",[1]OUT_FinalEnergyCons!$A$4:$A$10000))*1,[1]OUT_FinalEnergyCons!E$4:E$10000)</f>
        <v>3.3017868546791999E-2</v>
      </c>
      <c r="H2256" s="1" cm="1">
        <f t="array" ref="H2256">SUMPRODUCT(([1]OUT_FinalEnergyCons!$B$4:$B$10000="var_ncap")*1,ISNUMBER(SEARCH("RH*-WHELCHP",[1]OUT_FinalEnergyCons!$A$4:$A$10000))*1,[1]OUT_FinalEnergyCons!F$4:F$10000)</f>
        <v>7.9375059513779003E-2</v>
      </c>
      <c r="I2256" s="1" cm="1">
        <f t="array" ref="I2256">SUMPRODUCT(([1]OUT_FinalEnergyCons!$B$4:$B$10000="var_ncap")*1,ISNUMBER(SEARCH("RH*-WHELCHP",[1]OUT_FinalEnergyCons!$A$4:$A$10000))*1,[1]OUT_FinalEnergyCons!G$4:G$10000)</f>
        <v>0.17379910293193901</v>
      </c>
      <c r="J2256" s="1" cm="1">
        <f t="array" ref="J2256">SUMPRODUCT(([2]OUT_FinalEnergyCons!$B$4:$B$10000="var_ncap")*1,ISNUMBER(SEARCH("RH*-WHELCHP",[2]OUT_FinalEnergyCons!$A$4:$A$10000))*1,[2]OUT_FinalEnergyCons!H$4:H$10000)</f>
        <v>0.34743192945527901</v>
      </c>
      <c r="K2256" s="1" cm="1">
        <f t="array" ref="K2256">SUMPRODUCT(([2]OUT_FinalEnergyCons!$B$4:$B$10000="var_ncap")*1,ISNUMBER(SEARCH("RH*-WHELCHP",[2]OUT_FinalEnergyCons!$A$4:$A$10000))*1,[2]OUT_FinalEnergyCons!I$4:I$10000)</f>
        <v>0.382466996459355</v>
      </c>
      <c r="L2256" s="1" cm="1">
        <f t="array" ref="L2256">SUMPRODUCT(([2]OUT_FinalEnergyCons!$B$4:$B$10000="var_ncap")*1,ISNUMBER(SEARCH("RH*-WHELCHP",[2]OUT_FinalEnergyCons!$A$4:$A$10000))*1,[2]OUT_FinalEnergyCons!J$4:J$10000)</f>
        <v>0.63804610724867505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6.7005014714817597E-6</v>
      </c>
      <c r="H2257" s="1">
        <f t="shared" si="2142"/>
        <v>2.76600558444557E-6</v>
      </c>
      <c r="I2257" s="1">
        <f t="shared" si="2142"/>
        <v>5.4987703994920097E-6</v>
      </c>
      <c r="J2257" s="1">
        <f t="shared" si="2142"/>
        <v>3.8274639631548001E-2</v>
      </c>
      <c r="K2257" s="1">
        <f t="shared" si="2142"/>
        <v>2.0321298330545998E-2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6.7005014714817597E-6</v>
      </c>
      <c r="H2258" s="1" cm="1">
        <f t="array" ref="H2258">SUMPRODUCT(([1]OUT_FinalEnergyCons!$B$4:$B$10000="var_ncap")*1, (ISNUMBER(SEARCH("RH*-WHLFOBR",[1]OUT_FinalEnergyCons!$A$4:$A$10000)))*1,[1]OUT_FinalEnergyCons!F$4:F$10000)</f>
        <v>2.76600558444557E-6</v>
      </c>
      <c r="I2258" s="1" cm="1">
        <f t="array" ref="I2258">SUMPRODUCT(([1]OUT_FinalEnergyCons!$B$4:$B$10000="var_ncap")*1, (ISNUMBER(SEARCH("RH*-WHLFOBR",[1]OUT_FinalEnergyCons!$A$4:$A$10000)))*1,[1]OUT_FinalEnergyCons!G$4:G$10000)</f>
        <v>5.4987703994920097E-6</v>
      </c>
      <c r="J2258" s="1" cm="1">
        <f t="array" ref="J2258">SUMPRODUCT(([2]OUT_FinalEnergyCons!$B$4:$B$10000="var_ncap")*1, (ISNUMBER(SEARCH("RH*-WHLFOBR",[2]OUT_FinalEnergyCons!$A$4:$A$10000)))*1,[2]OUT_FinalEnergyCons!H$4:H$10000)</f>
        <v>3.8274639631548001E-2</v>
      </c>
      <c r="K2258" s="1" cm="1">
        <f t="array" ref="K2258">SUMPRODUCT(([2]OUT_FinalEnergyCons!$B$4:$B$10000="var_ncap")*1, (ISNUMBER(SEARCH("RH*-WHLFOBR",[2]OUT_FinalEnergyCons!$A$4:$A$10000)))*1,[2]OUT_FinalEnergyCons!I$4:I$10000)</f>
        <v>2.0321298330545998E-2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2.4932949770555E-5</v>
      </c>
      <c r="H2259" s="1">
        <f t="shared" si="2143"/>
        <v>7.3025407410924809E-2</v>
      </c>
      <c r="I2259" s="1">
        <f t="shared" si="2143"/>
        <v>0.14387154748207451</v>
      </c>
      <c r="J2259" s="1">
        <f t="shared" si="2143"/>
        <v>0.14758741842059558</v>
      </c>
      <c r="K2259" s="1">
        <f t="shared" si="2143"/>
        <v>0.25341502382568598</v>
      </c>
      <c r="L2259" s="1">
        <f t="shared" ref="L2259" si="2144">SUM(L2260:L2261)</f>
        <v>0.27443441823769871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1.2777307758621499E-5</v>
      </c>
      <c r="H2260" s="1" cm="1">
        <f t="array" ref="H2260">SUMPRODUCT(([1]OUT_FinalEnergyCons!$B$4:$B$10000="var_ncap")*1, (ISNUMBER(SEARCH("RH*-WHNGABR",[1]OUT_FinalEnergyCons!$A$4:$A$10000)))*1,[1]OUT_FinalEnergyCons!F$4:F$10000)</f>
        <v>5.2685956135009598E-6</v>
      </c>
      <c r="I2260" s="1" cm="1">
        <f t="array" ref="I2260">SUMPRODUCT(([1]OUT_FinalEnergyCons!$B$4:$B$10000="var_ncap")*1, (ISNUMBER(SEARCH("RH*-WHNGABR",[1]OUT_FinalEnergyCons!$A$4:$A$10000)))*1,[1]OUT_FinalEnergyCons!G$4:G$10000)</f>
        <v>6.4269173914872399E-6</v>
      </c>
      <c r="J2260" s="1" cm="1">
        <f t="array" ref="J2260">SUMPRODUCT(([2]OUT_FinalEnergyCons!$B$4:$B$10000="var_ncap")*1, (ISNUMBER(SEARCH("RH*-WHNGABR",[2]OUT_FinalEnergyCons!$A$4:$A$10000)))*1,[2]OUT_FinalEnergyCons!H$4:H$10000)</f>
        <v>5.1967508719235403E-2</v>
      </c>
      <c r="K2260" s="1" cm="1">
        <f t="array" ref="K2260">SUMPRODUCT(([2]OUT_FinalEnergyCons!$B$4:$B$10000="var_ncap")*1, (ISNUMBER(SEARCH("RH*-WHNGABR",[2]OUT_FinalEnergyCons!$A$4:$A$10000)))*1,[2]OUT_FinalEnergyCons!I$4:I$10000)</f>
        <v>5.1839254660824001E-2</v>
      </c>
      <c r="L2260" s="1" cm="1">
        <f t="array" ref="L2260">SUMPRODUCT(([2]OUT_FinalEnergyCons!$B$4:$B$10000="var_ncap")*1, (ISNUMBER(SEARCH("RH*-WHNGABR",[2]OUT_FinalEnergyCons!$A$4:$A$10000)))*1,[2]OUT_FinalEnergyCons!J$4:J$10000)</f>
        <v>9.3575307869497502E-7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1.2155642011933501E-5</v>
      </c>
      <c r="H2261" s="1" cm="1">
        <f t="array" ref="H2261">SUMPRODUCT(([1]OUT_FinalEnergyCons!$B$4:$B$10000="var_ncap")*1,ISNUMBER(SEARCH("RH*-WHngahp",[1]OUT_FinalEnergyCons!$A$4:$A$10000))*1,[1]OUT_FinalEnergyCons!F$4:F$10000)</f>
        <v>7.3020138815311303E-2</v>
      </c>
      <c r="I2261" s="1" cm="1">
        <f t="array" ref="I2261">SUMPRODUCT(([1]OUT_FinalEnergyCons!$B$4:$B$10000="var_ncap")*1,ISNUMBER(SEARCH("RH*-WHngahp",[1]OUT_FinalEnergyCons!$A$4:$A$10000))*1,[1]OUT_FinalEnergyCons!G$4:G$10000)</f>
        <v>0.14386512056468301</v>
      </c>
      <c r="J2261" s="1" cm="1">
        <f t="array" ref="J2261">SUMPRODUCT(([2]OUT_FinalEnergyCons!$B$4:$B$10000="var_ncap")*1,ISNUMBER(SEARCH("RH*-WHngahp",[2]OUT_FinalEnergyCons!$A$4:$A$10000))*1,[2]OUT_FinalEnergyCons!H$4:H$10000)</f>
        <v>9.5619909701360195E-2</v>
      </c>
      <c r="K2261" s="1" cm="1">
        <f t="array" ref="K2261">SUMPRODUCT(([2]OUT_FinalEnergyCons!$B$4:$B$10000="var_ncap")*1,ISNUMBER(SEARCH("RH*-WHngahp",[2]OUT_FinalEnergyCons!$A$4:$A$10000))*1,[2]OUT_FinalEnergyCons!I$4:I$10000)</f>
        <v>0.201575769164862</v>
      </c>
      <c r="L2261" s="1" cm="1">
        <f t="array" ref="L2261">SUMPRODUCT(([2]OUT_FinalEnergyCons!$B$4:$B$10000="var_ncap")*1,ISNUMBER(SEARCH("RH*-WHngahp",[2]OUT_FinalEnergyCons!$A$4:$A$10000))*1,[2]OUT_FinalEnergyCons!J$4:J$10000)</f>
        <v>0.27443348248462002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5.41651913412056E-3</v>
      </c>
      <c r="H2264" s="1">
        <f t="shared" si="2146"/>
        <v>3.8637788231454202E-2</v>
      </c>
      <c r="I2264" s="1">
        <f t="shared" si="2146"/>
        <v>6.3872109185682095E-4</v>
      </c>
      <c r="J2264" s="1">
        <f t="shared" si="2146"/>
        <v>2.3596995649288799E-2</v>
      </c>
      <c r="K2264" s="1">
        <f t="shared" si="2146"/>
        <v>4.1593974270592499E-2</v>
      </c>
      <c r="L2264" s="1">
        <f t="shared" si="2146"/>
        <v>1.45984302121904E-2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5.41651913412056E-3</v>
      </c>
      <c r="H2265" s="1" cm="1">
        <f t="array" ref="H2265">SUMPRODUCT(([1]OUT_FinalEnergyCons!$B$4:$B$10000="var_ncap")*1, (ISNUMBER(SEARCH("RH*-WHWODBR",[1]OUT_FinalEnergyCons!$A$4:$A$10000)))*1,[1]OUT_FinalEnergyCons!F$4:F$10000)</f>
        <v>3.8637788231454202E-2</v>
      </c>
      <c r="I2265" s="1" cm="1">
        <f t="array" ref="I2265">SUMPRODUCT(([1]OUT_FinalEnergyCons!$B$4:$B$10000="var_ncap")*1, (ISNUMBER(SEARCH("RH*-WHWODBR",[1]OUT_FinalEnergyCons!$A$4:$A$10000)))*1,[1]OUT_FinalEnergyCons!G$4:G$10000)</f>
        <v>6.3872109185682095E-4</v>
      </c>
      <c r="J2265" s="1" cm="1">
        <f t="array" ref="J2265">SUMPRODUCT(([2]OUT_FinalEnergyCons!$B$4:$B$10000="var_ncap")*1, (ISNUMBER(SEARCH("RH*-WHWODBR",[2]OUT_FinalEnergyCons!$A$4:$A$10000)))*1,[2]OUT_FinalEnergyCons!H$4:H$10000)</f>
        <v>2.3596995649288799E-2</v>
      </c>
      <c r="K2265" s="1" cm="1">
        <f t="array" ref="K2265">SUMPRODUCT(([2]OUT_FinalEnergyCons!$B$4:$B$10000="var_ncap")*1, (ISNUMBER(SEARCH("RH*-WHWODBR",[2]OUT_FinalEnergyCons!$A$4:$A$10000)))*1,[2]OUT_FinalEnergyCons!I$4:I$10000)</f>
        <v>4.1593974270592499E-2</v>
      </c>
      <c r="L2265" s="1" cm="1">
        <f t="array" ref="L2265">SUMPRODUCT(([2]OUT_FinalEnergyCons!$B$4:$B$10000="var_ncap")*1, (ISNUMBER(SEARCH("RH*-WHWODBR",[2]OUT_FinalEnergyCons!$A$4:$A$10000)))*1,[2]OUT_FinalEnergyCons!J$4:J$10000)</f>
        <v>1.45984302121904E-2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2.0553897283731399E-3</v>
      </c>
      <c r="H2266" s="1">
        <f t="shared" si="2147"/>
        <v>2.8160175840249901E-6</v>
      </c>
      <c r="I2266" s="1">
        <f t="shared" si="2147"/>
        <v>5.5789752107580097E-5</v>
      </c>
      <c r="J2266" s="1">
        <f t="shared" si="2147"/>
        <v>4.7558928160252303E-3</v>
      </c>
      <c r="K2266" s="1">
        <f t="shared" si="2147"/>
        <v>4.4396836698763296E-3</v>
      </c>
      <c r="L2266" s="1">
        <f t="shared" si="2147"/>
        <v>4.1956814322659302E-3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2.0553897283731399E-3</v>
      </c>
      <c r="H2267" s="1" cm="1">
        <f t="array" ref="H2267">SUMPRODUCT(([1]OUT_FinalEnergyCons!$B$4:$B$10000="var_ncap")*1, (ISNUMBER(SEARCH("RH*-WHPLTBR",[1]OUT_FinalEnergyCons!$A$4:$A$10000)))*1,[1]OUT_FinalEnergyCons!F$4:F$10000)</f>
        <v>2.8160175840249901E-6</v>
      </c>
      <c r="I2267" s="1" cm="1">
        <f t="array" ref="I2267">SUMPRODUCT(([1]OUT_FinalEnergyCons!$B$4:$B$10000="var_ncap")*1, (ISNUMBER(SEARCH("RH*-WHPLTBR",[1]OUT_FinalEnergyCons!$A$4:$A$10000)))*1,[1]OUT_FinalEnergyCons!G$4:G$10000)</f>
        <v>5.5789752107580097E-5</v>
      </c>
      <c r="J2267" s="1" cm="1">
        <f t="array" ref="J2267">SUMPRODUCT(([2]OUT_FinalEnergyCons!$B$4:$B$10000="var_ncap")*1, (ISNUMBER(SEARCH("RH*-WHPLTBR",[2]OUT_FinalEnergyCons!$A$4:$A$10000)))*1,[2]OUT_FinalEnergyCons!H$4:H$10000)</f>
        <v>4.7558928160252303E-3</v>
      </c>
      <c r="K2267" s="1" cm="1">
        <f t="array" ref="K2267">SUMPRODUCT(([2]OUT_FinalEnergyCons!$B$4:$B$10000="var_ncap")*1, (ISNUMBER(SEARCH("RH*-WHPLTBR",[2]OUT_FinalEnergyCons!$A$4:$A$10000)))*1,[2]OUT_FinalEnergyCons!I$4:I$10000)</f>
        <v>4.4396836698763296E-3</v>
      </c>
      <c r="L2267" s="1" cm="1">
        <f t="array" ref="L2267">SUMPRODUCT(([2]OUT_FinalEnergyCons!$B$4:$B$10000="var_ncap")*1, (ISNUMBER(SEARCH("RH*-WHPLTBR",[2]OUT_FinalEnergyCons!$A$4:$A$10000)))*1,[2]OUT_FinalEnergyCons!J$4:J$10000)</f>
        <v>4.1956814322659302E-3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8.2473656069182805E-2</v>
      </c>
      <c r="H2268" s="1">
        <f t="shared" si="2151"/>
        <v>3.2856019171264001E-5</v>
      </c>
      <c r="I2268" s="1">
        <f t="shared" si="2151"/>
        <v>9.2610938849064297E-5</v>
      </c>
      <c r="J2268" s="1">
        <f t="shared" si="2151"/>
        <v>0.14154378502061199</v>
      </c>
      <c r="K2268" s="1">
        <f t="shared" si="2151"/>
        <v>0.14004559632632499</v>
      </c>
      <c r="L2268" s="1">
        <f t="shared" si="2151"/>
        <v>0.115793694713549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8.2473656069182805E-2</v>
      </c>
      <c r="H2269" s="1" cm="1">
        <f t="array" ref="H2269">SUMPRODUCT(([1]OUT_FinalEnergyCons!$B$4:$B$10000="var_ncap")*1, (ISNUMBER(SEARCH("RH*-WHSOLBR",[1]OUT_FinalEnergyCons!$A$4:$A$10000)))*1,[1]OUT_FinalEnergyCons!F$4:F$10000)</f>
        <v>3.2856019171264001E-5</v>
      </c>
      <c r="I2269" s="1" cm="1">
        <f t="array" ref="I2269">SUMPRODUCT(([1]OUT_FinalEnergyCons!$B$4:$B$10000="var_ncap")*1, (ISNUMBER(SEARCH("RH*-WHSOLBR",[1]OUT_FinalEnergyCons!$A$4:$A$10000)))*1,[1]OUT_FinalEnergyCons!G$4:G$10000)</f>
        <v>9.2610938849064297E-5</v>
      </c>
      <c r="J2269" s="1" cm="1">
        <f t="array" ref="J2269">SUMPRODUCT(([2]OUT_FinalEnergyCons!$B$4:$B$10000="var_ncap")*1, (ISNUMBER(SEARCH("RH*-WHSOLBR",[2]OUT_FinalEnergyCons!$A$4:$A$10000)))*1,[2]OUT_FinalEnergyCons!H$4:H$10000)</f>
        <v>0.14154378502061199</v>
      </c>
      <c r="K2269" s="1" cm="1">
        <f t="array" ref="K2269">SUMPRODUCT(([2]OUT_FinalEnergyCons!$B$4:$B$10000="var_ncap")*1, (ISNUMBER(SEARCH("RH*-WHSOLBR",[2]OUT_FinalEnergyCons!$A$4:$A$10000)))*1,[2]OUT_FinalEnergyCons!I$4:I$10000)</f>
        <v>0.14004559632632499</v>
      </c>
      <c r="L2269" s="1" cm="1">
        <f t="array" ref="L2269">SUMPRODUCT(([2]OUT_FinalEnergyCons!$B$4:$B$10000="var_ncap")*1, (ISNUMBER(SEARCH("RH*-WHSOLBR",[2]OUT_FinalEnergyCons!$A$4:$A$10000)))*1,[2]OUT_FinalEnergyCons!J$4:J$10000)</f>
        <v>0.115793694713549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1.33925594243944E-2</v>
      </c>
      <c r="G2272" s="17">
        <f t="shared" si="2153"/>
        <v>0.65185538060459858</v>
      </c>
      <c r="H2272" s="17">
        <f t="shared" si="2153"/>
        <v>0.10732356713705589</v>
      </c>
      <c r="I2272" s="17">
        <f t="shared" si="2153"/>
        <v>0.49080247409825889</v>
      </c>
      <c r="J2272" s="17">
        <f t="shared" si="2153"/>
        <v>2.628063046209359</v>
      </c>
      <c r="K2272" s="17">
        <f t="shared" si="2153"/>
        <v>0.79757625314093994</v>
      </c>
      <c r="L2272" s="17">
        <f t="shared" ref="L2272" si="2154">SUM(L2273,L2276,L2279,L2283,L2285,L2287,L2289,L2291,L2293)</f>
        <v>2.0511208594909012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0.21557846636999231</v>
      </c>
      <c r="H2273" s="18">
        <f t="shared" si="2155"/>
        <v>7.9262407946784907E-2</v>
      </c>
      <c r="I2273" s="18">
        <f t="shared" si="2155"/>
        <v>0.44848510922009399</v>
      </c>
      <c r="J2273" s="18">
        <f t="shared" si="2155"/>
        <v>0.92727658516762101</v>
      </c>
      <c r="K2273" s="18">
        <f t="shared" si="2155"/>
        <v>0.39862716361103201</v>
      </c>
      <c r="L2273" s="18">
        <f t="shared" ref="L2273" si="2156">SUM(L2274:L2275)</f>
        <v>1.2496036521048302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0.195937581071362</v>
      </c>
      <c r="H2274" s="1" cm="1">
        <f t="array" ref="H2274">SUMPRODUCT(([1]OUT_FinalEnergyCons!$B$4:$B$10000="var_ncap")*1,  (ISNUMBER(SEARCH("ITOT-SWHELCBR",[1]OUT_FinalEnergyCons!$A$4:$A$10000)))*1,[1]OUT_FinalEnergyCons!F$4:F$10000)</f>
        <v>1.4658584998031E-2</v>
      </c>
      <c r="I2274" s="1" cm="1">
        <f t="array" ref="I2274">SUMPRODUCT(([1]OUT_FinalEnergyCons!$B$4:$B$10000="var_ncap")*1,  (ISNUMBER(SEARCH("ITOT-SWHELCBR",[1]OUT_FinalEnergyCons!$A$4:$A$10000)))*1,[1]OUT_FinalEnergyCons!G$4:G$10000)</f>
        <v>0.258033237202895</v>
      </c>
      <c r="J2274" s="1" cm="1">
        <f t="array" ref="J2274">SUMPRODUCT(([2]OUT_FinalEnergyCons!$B$4:$B$10000="var_ncap")*1,  (ISNUMBER(SEARCH("ITOT-SWHELCBR",[2]OUT_FinalEnergyCons!$A$4:$A$10000)))*1,[2]OUT_FinalEnergyCons!H$4:H$10000)</f>
        <v>0.75400011295525904</v>
      </c>
      <c r="K2274" s="1" cm="1">
        <f t="array" ref="K2274">SUMPRODUCT(([2]OUT_FinalEnergyCons!$B$4:$B$10000="var_ncap")*1,  (ISNUMBER(SEARCH("ITOT-SWHELCBR",[2]OUT_FinalEnergyCons!$A$4:$A$10000)))*1,[2]OUT_FinalEnergyCons!I$4:I$10000)</f>
        <v>0.179140611189919</v>
      </c>
      <c r="L2274" s="1" cm="1">
        <f t="array" ref="L2274">SUMPRODUCT(([2]OUT_FinalEnergyCons!$B$4:$B$10000="var_ncap")*1,  (ISNUMBER(SEARCH("ITOT-SWHELCBR",[2]OUT_FinalEnergyCons!$A$4:$A$10000)))*1,[2]OUT_FinalEnergyCons!J$4:J$10000)</f>
        <v>0.76714361181288104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1.9640885298630301E-2</v>
      </c>
      <c r="H2275" s="1" cm="1">
        <f t="array" ref="H2275">SUMPRODUCT(([1]OUT_FinalEnergyCons!$B$4:$B$10000="var_ncap")*1,  (ISNUMBER(SEARCH("ITOT-SWHELCHP",[1]OUT_FinalEnergyCons!$A$4:$A$10000)))*1,[1]OUT_FinalEnergyCons!F$4:F$10000)</f>
        <v>6.46038229487539E-2</v>
      </c>
      <c r="I2275" s="1" cm="1">
        <f t="array" ref="I2275">SUMPRODUCT(([1]OUT_FinalEnergyCons!$B$4:$B$10000="var_ncap")*1,  (ISNUMBER(SEARCH("ITOT-SWHELCHP",[1]OUT_FinalEnergyCons!$A$4:$A$10000)))*1,[1]OUT_FinalEnergyCons!G$4:G$10000)</f>
        <v>0.19045187201719899</v>
      </c>
      <c r="J2275" s="1" cm="1">
        <f t="array" ref="J2275">SUMPRODUCT(([2]OUT_FinalEnergyCons!$B$4:$B$10000="var_ncap")*1,  (ISNUMBER(SEARCH("ITOT-SWHELCHP",[2]OUT_FinalEnergyCons!$A$4:$A$10000)))*1,[2]OUT_FinalEnergyCons!H$4:H$10000)</f>
        <v>0.173276472212362</v>
      </c>
      <c r="K2275" s="1" cm="1">
        <f t="array" ref="K2275">SUMPRODUCT(([2]OUT_FinalEnergyCons!$B$4:$B$10000="var_ncap")*1,  (ISNUMBER(SEARCH("ITOT-SWHELCHP",[2]OUT_FinalEnergyCons!$A$4:$A$10000)))*1,[2]OUT_FinalEnergyCons!I$4:I$10000)</f>
        <v>0.21948655242111301</v>
      </c>
      <c r="L2275" s="1" cm="1">
        <f t="array" ref="L2275">SUMPRODUCT(([2]OUT_FinalEnergyCons!$B$4:$B$10000="var_ncap")*1,  (ISNUMBER(SEARCH("ITOT-SWHELCHP",[2]OUT_FinalEnergyCons!$A$4:$A$10000)))*1,[2]OUT_FinalEnergyCons!J$4:J$10000)</f>
        <v>0.482460040291949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1.33925594243944E-2</v>
      </c>
      <c r="G2276" s="18">
        <f t="shared" si="2157"/>
        <v>8.3656964338796116E-3</v>
      </c>
      <c r="H2276" s="18">
        <f t="shared" si="2157"/>
        <v>9.3606470188319305E-3</v>
      </c>
      <c r="I2276" s="18">
        <f t="shared" si="2157"/>
        <v>2.320259929122648E-3</v>
      </c>
      <c r="J2276" s="18">
        <f t="shared" si="2157"/>
        <v>0.18077352193992843</v>
      </c>
      <c r="K2276" s="18">
        <f t="shared" si="2157"/>
        <v>7.160493625345696E-4</v>
      </c>
      <c r="L2276" s="18">
        <f t="shared" ref="L2276" si="2158">SUM(L2277:L2278)</f>
        <v>1.6102372404921092E-5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7.8921284084253508E-3</v>
      </c>
      <c r="H2277" s="1" cm="1">
        <f t="array" ref="H2277">SUMPRODUCT(([1]OUT_FinalEnergyCons!$B$4:$B$10000="var_ncap")*1,  (ISNUMBER(SEARCH("ITOT-SWHLFOBR",[1]OUT_FinalEnergyCons!$A$4:$A$10000)))*1,[1]OUT_FinalEnergyCons!F$4:F$10000)</f>
        <v>9.1047211546281797E-3</v>
      </c>
      <c r="I2277" s="1" cm="1">
        <f t="array" ref="I2277">SUMPRODUCT(([1]OUT_FinalEnergyCons!$B$4:$B$10000="var_ncap")*1,  (ISNUMBER(SEARCH("ITOT-SWHLFOBR",[1]OUT_FinalEnergyCons!$A$4:$A$10000)))*1,[1]OUT_FinalEnergyCons!G$4:G$10000)</f>
        <v>2.0393629661559199E-3</v>
      </c>
      <c r="J2277" s="1" cm="1">
        <f t="array" ref="J2277">SUMPRODUCT(([2]OUT_FinalEnergyCons!$B$4:$B$10000="var_ncap")*1,  (ISNUMBER(SEARCH("ITOT-SWHLFOBR",[2]OUT_FinalEnergyCons!$A$4:$A$10000)))*1,[2]OUT_FinalEnergyCons!H$4:H$10000)</f>
        <v>0.180184253297723</v>
      </c>
      <c r="K2277" s="1" cm="1">
        <f t="array" ref="K2277">SUMPRODUCT(([2]OUT_FinalEnergyCons!$B$4:$B$10000="var_ncap")*1,  (ISNUMBER(SEARCH("ITOT-SWHLFOBR",[2]OUT_FinalEnergyCons!$A$4:$A$10000)))*1,[2]OUT_FinalEnergyCons!I$4:I$10000)</f>
        <v>6.8349862734377301E-4</v>
      </c>
      <c r="L2277" s="1" cm="1">
        <f t="array" ref="L2277">SUMPRODUCT(([2]OUT_FinalEnergyCons!$B$4:$B$10000="var_ncap")*1,  (ISNUMBER(SEARCH("ITOT-SWHLFOBR",[2]OUT_FinalEnergyCons!$A$4:$A$10000)))*1,[2]OUT_FinalEnergyCons!J$4:J$10000)</f>
        <v>1.2141963069743801E-5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1.33925594243944E-2</v>
      </c>
      <c r="G2278" s="1" cm="1">
        <f t="array" ref="G2278">SUMPRODUCT(([1]OUT_FinalEnergyCons!$B$4:$B$10000="var_ncap")*1,  (ISNUMBER(SEARCH("ITOT-SWHHFOBR",[1]OUT_FinalEnergyCons!$A$4:$A$10000)))*1,[1]OUT_FinalEnergyCons!E$4:E$10000)</f>
        <v>4.7356802545426001E-4</v>
      </c>
      <c r="H2278" s="1" cm="1">
        <f t="array" ref="H2278">SUMPRODUCT(([1]OUT_FinalEnergyCons!$B$4:$B$10000="var_ncap")*1,  (ISNUMBER(SEARCH("ITOT-SWHHFOBR",[1]OUT_FinalEnergyCons!$A$4:$A$10000)))*1,[1]OUT_FinalEnergyCons!F$4:F$10000)</f>
        <v>2.5592586420375001E-4</v>
      </c>
      <c r="I2278" s="1" cm="1">
        <f t="array" ref="I2278">SUMPRODUCT(([1]OUT_FinalEnergyCons!$B$4:$B$10000="var_ncap")*1,  (ISNUMBER(SEARCH("ITOT-SWHHFOBR",[1]OUT_FinalEnergyCons!$A$4:$A$10000)))*1,[1]OUT_FinalEnergyCons!G$4:G$10000)</f>
        <v>2.8089696296672799E-4</v>
      </c>
      <c r="J2278" s="1" cm="1">
        <f t="array" ref="J2278">SUMPRODUCT(([2]OUT_FinalEnergyCons!$B$4:$B$10000="var_ncap")*1,  (ISNUMBER(SEARCH("ITOT-SWHHFOBR",[2]OUT_FinalEnergyCons!$A$4:$A$10000)))*1,[2]OUT_FinalEnergyCons!H$4:H$10000)</f>
        <v>5.8926864220542805E-4</v>
      </c>
      <c r="K2278" s="1" cm="1">
        <f t="array" ref="K2278">SUMPRODUCT(([2]OUT_FinalEnergyCons!$B$4:$B$10000="var_ncap")*1,  (ISNUMBER(SEARCH("ITOT-SWHHFOBR",[2]OUT_FinalEnergyCons!$A$4:$A$10000)))*1,[2]OUT_FinalEnergyCons!I$4:I$10000)</f>
        <v>3.25507351907966E-5</v>
      </c>
      <c r="L2278" s="1" cm="1">
        <f t="array" ref="L2278">SUMPRODUCT(([2]OUT_FinalEnergyCons!$B$4:$B$10000="var_ncap")*1,  (ISNUMBER(SEARCH("ITOT-SWHHFOBR",[2]OUT_FinalEnergyCons!$A$4:$A$10000)))*1,[2]OUT_FinalEnergyCons!J$4:J$10000)</f>
        <v>3.9604093351772898E-6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1.0201087212215619E-2</v>
      </c>
      <c r="H2279" s="18">
        <f t="shared" si="2159"/>
        <v>4.0995803823337942E-3</v>
      </c>
      <c r="I2279" s="18">
        <f t="shared" si="2159"/>
        <v>6.9742415511904053E-4</v>
      </c>
      <c r="J2279" s="18">
        <f t="shared" si="2159"/>
        <v>0.22843975477238612</v>
      </c>
      <c r="K2279" s="18">
        <f t="shared" si="2159"/>
        <v>4.25484990939691E-2</v>
      </c>
      <c r="L2279" s="18">
        <f t="shared" ref="L2279" si="2160">SUM(L2280:L2281)</f>
        <v>1.027858752818159E-4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3.9058649103080102E-3</v>
      </c>
      <c r="H2280" s="1" cm="1">
        <f t="array" ref="H2280">SUMPRODUCT(([1]OUT_FinalEnergyCons!$B$4:$B$10000="var_ncap")*1,  (ISNUMBER(SEARCH("ITOT-SWHNGA*BR",[1]OUT_FinalEnergyCons!$A$4:$A$10000)))*1,[1]OUT_FinalEnergyCons!F$4:F$10000)</f>
        <v>3.96512739436722E-3</v>
      </c>
      <c r="I2280" s="1" cm="1">
        <f t="array" ref="I2280">SUMPRODUCT(([1]OUT_FinalEnergyCons!$B$4:$B$10000="var_ncap")*1,  (ISNUMBER(SEARCH("ITOT-SWHNGA*BR",[1]OUT_FinalEnergyCons!$A$4:$A$10000)))*1,[1]OUT_FinalEnergyCons!G$4:G$10000)</f>
        <v>6.7825152563096198E-4</v>
      </c>
      <c r="J2280" s="1" cm="1">
        <f t="array" ref="J2280">SUMPRODUCT(([2]OUT_FinalEnergyCons!$B$4:$B$10000="var_ncap")*1,  (ISNUMBER(SEARCH("ITOT-SWHNGA*BR",[2]OUT_FinalEnergyCons!$A$4:$A$10000)))*1,[2]OUT_FinalEnergyCons!H$4:H$10000)</f>
        <v>0.22802086834341401</v>
      </c>
      <c r="K2280" s="1" cm="1">
        <f t="array" ref="K2280">SUMPRODUCT(([2]OUT_FinalEnergyCons!$B$4:$B$10000="var_ncap")*1,  (ISNUMBER(SEARCH("ITOT-SWHNGA*BR",[2]OUT_FinalEnergyCons!$A$4:$A$10000)))*1,[2]OUT_FinalEnergyCons!I$4:I$10000)</f>
        <v>4.2546449291169602E-2</v>
      </c>
      <c r="L2280" s="1" cm="1">
        <f t="array" ref="L2280">SUMPRODUCT(([2]OUT_FinalEnergyCons!$B$4:$B$10000="var_ncap")*1,  (ISNUMBER(SEARCH("ITOT-SWHNGA*BR",[2]OUT_FinalEnergyCons!$A$4:$A$10000)))*1,[2]OUT_FinalEnergyCons!J$4:J$10000)</f>
        <v>2.5450905307441001E-5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6.2952223019076096E-3</v>
      </c>
      <c r="H2281" s="1" cm="1">
        <f t="array" ref="H2281">SUMPRODUCT(([1]OUT_FinalEnergyCons!$B$4:$B$10000="var_ncap")*1,  (ISNUMBER(SEARCH("ITOT-SWHNGAHP",[1]OUT_FinalEnergyCons!$A$4:$A$10000)))*1,[1]OUT_FinalEnergyCons!F$4:F$10000)</f>
        <v>1.34452987966574E-4</v>
      </c>
      <c r="I2281" s="1" cm="1">
        <f t="array" ref="I2281">SUMPRODUCT(([1]OUT_FinalEnergyCons!$B$4:$B$10000="var_ncap")*1,  (ISNUMBER(SEARCH("ITOT-SWHNGAHP",[1]OUT_FinalEnergyCons!$A$4:$A$10000)))*1,[1]OUT_FinalEnergyCons!G$4:G$10000)</f>
        <v>1.91726294880785E-5</v>
      </c>
      <c r="J2281" s="1" cm="1">
        <f t="array" ref="J2281">SUMPRODUCT(([2]OUT_FinalEnergyCons!$B$4:$B$10000="var_ncap")*1,  (ISNUMBER(SEARCH("ITOT-SWHNGAHP",[2]OUT_FinalEnergyCons!$A$4:$A$10000)))*1,[2]OUT_FinalEnergyCons!H$4:H$10000)</f>
        <v>4.1888642897211102E-4</v>
      </c>
      <c r="K2281" s="1" cm="1">
        <f t="array" ref="K2281">SUMPRODUCT(([2]OUT_FinalEnergyCons!$B$4:$B$10000="var_ncap")*1,  (ISNUMBER(SEARCH("ITOT-SWHNGAHP",[2]OUT_FinalEnergyCons!$A$4:$A$10000)))*1,[2]OUT_FinalEnergyCons!I$4:I$10000)</f>
        <v>2.0498027994972502E-6</v>
      </c>
      <c r="L2281" s="1" cm="1">
        <f t="array" ref="L2281">SUMPRODUCT(([2]OUT_FinalEnergyCons!$B$4:$B$10000="var_ncap")*1,  (ISNUMBER(SEARCH("ITOT-SWHNGAHP",[2]OUT_FinalEnergyCons!$A$4:$A$10000)))*1,[2]OUT_FinalEnergyCons!J$4:J$10000)</f>
        <v>7.7334969974374897E-5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1.6098035857658E-2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7.1009789241017807E-2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3.3983535961932702E-2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2.5970600327722301E-2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0.11554691738968199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0.10488087779561001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1.34953670203996E-4</v>
      </c>
      <c r="H2283" s="1">
        <f t="shared" si="2161"/>
        <v>1.54695638079946E-4</v>
      </c>
      <c r="I2283" s="1">
        <f t="shared" si="2161"/>
        <v>1.7682412791727E-4</v>
      </c>
      <c r="J2283" s="1">
        <f t="shared" si="2161"/>
        <v>3.6314094433684198E-4</v>
      </c>
      <c r="K2283" s="1">
        <f t="shared" si="2161"/>
        <v>8.4819850480451505E-6</v>
      </c>
      <c r="L2283" s="1">
        <f t="shared" si="2161"/>
        <v>1.23571362069415E-6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1.34953670203996E-4</v>
      </c>
      <c r="H2284" s="1" cm="1">
        <f t="array" ref="H2284">SUMPRODUCT(([1]OUT_FinalEnergyCons!$B$4:$B$10000="var_ncap")*1,  (ISNUMBER(SEARCH("ITOT-SWHCOA*BR",[1]OUT_FinalEnergyCons!$A$4:$A$10000)))*1,[1]OUT_FinalEnergyCons!F$4:F$10000)</f>
        <v>1.54695638079946E-4</v>
      </c>
      <c r="I2284" s="1" cm="1">
        <f t="array" ref="I2284">SUMPRODUCT(([1]OUT_FinalEnergyCons!$B$4:$B$10000="var_ncap")*1,  (ISNUMBER(SEARCH("ITOT-SWHCOA*BR",[1]OUT_FinalEnergyCons!$A$4:$A$10000)))*1,[1]OUT_FinalEnergyCons!G$4:G$10000)</f>
        <v>1.7682412791727E-4</v>
      </c>
      <c r="J2284" s="1" cm="1">
        <f t="array" ref="J2284">SUMPRODUCT(([2]OUT_FinalEnergyCons!$B$4:$B$10000="var_ncap")*1,  (ISNUMBER(SEARCH("ITOT-SWHCOA*BR",[2]OUT_FinalEnergyCons!$A$4:$A$10000)))*1,[2]OUT_FinalEnergyCons!H$4:H$10000)</f>
        <v>3.6314094433684198E-4</v>
      </c>
      <c r="K2284" s="1" cm="1">
        <f t="array" ref="K2284">SUMPRODUCT(([2]OUT_FinalEnergyCons!$B$4:$B$10000="var_ncap")*1,  (ISNUMBER(SEARCH("ITOT-SWHCOA*BR",[2]OUT_FinalEnergyCons!$A$4:$A$10000)))*1,[2]OUT_FinalEnergyCons!I$4:I$10000)</f>
        <v>8.4819850480451505E-6</v>
      </c>
      <c r="L2284" s="1" cm="1">
        <f t="array" ref="L2284">SUMPRODUCT(([2]OUT_FinalEnergyCons!$B$4:$B$10000="var_ncap")*1,  (ISNUMBER(SEARCH("ITOT-SWHCOA*BR",[2]OUT_FinalEnergyCons!$A$4:$A$10000)))*1,[2]OUT_FinalEnergyCons!J$4:J$10000)</f>
        <v>1.23571362069415E-6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6.3610202414609796E-2</v>
      </c>
      <c r="H2285" s="1">
        <f t="shared" si="2162"/>
        <v>8.6345801411765594E-3</v>
      </c>
      <c r="I2285" s="1">
        <f t="shared" si="2162"/>
        <v>3.6145781269546699E-2</v>
      </c>
      <c r="J2285" s="1">
        <f t="shared" si="2162"/>
        <v>0.29313101252574097</v>
      </c>
      <c r="K2285" s="1">
        <f t="shared" si="2162"/>
        <v>9.9033590764220206E-2</v>
      </c>
      <c r="L2285" s="1">
        <f t="shared" si="2162"/>
        <v>0.287453559230612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6.3610202414609796E-2</v>
      </c>
      <c r="H2286" s="1" cm="1">
        <f t="array" ref="H2286">SUMPRODUCT(([1]OUT_FinalEnergyCons!$B$4:$B$10000="var_ncap")*1,  (ISNUMBER(SEARCH("ITOT-SWHWOD*BR",[1]OUT_FinalEnergyCons!$A$4:$A$10000)))*1,[1]OUT_FinalEnergyCons!F$4:F$10000)</f>
        <v>8.6345801411765594E-3</v>
      </c>
      <c r="I2286" s="1" cm="1">
        <f t="array" ref="I2286">SUMPRODUCT(([1]OUT_FinalEnergyCons!$B$4:$B$10000="var_ncap")*1,  (ISNUMBER(SEARCH("ITOT-SWHWOD*BR",[1]OUT_FinalEnergyCons!$A$4:$A$10000)))*1,[1]OUT_FinalEnergyCons!G$4:G$10000)</f>
        <v>3.6145781269546699E-2</v>
      </c>
      <c r="J2286" s="1" cm="1">
        <f t="array" ref="J2286">SUMPRODUCT(([2]OUT_FinalEnergyCons!$B$4:$B$10000="var_ncap")*1,  (ISNUMBER(SEARCH("ITOT-SWHWOD*BR",[2]OUT_FinalEnergyCons!$A$4:$A$10000)))*1,[2]OUT_FinalEnergyCons!H$4:H$10000)</f>
        <v>0.29313101252574097</v>
      </c>
      <c r="K2286" s="1" cm="1">
        <f t="array" ref="K2286">SUMPRODUCT(([2]OUT_FinalEnergyCons!$B$4:$B$10000="var_ncap")*1,  (ISNUMBER(SEARCH("ITOT-SWHWOD*BR",[2]OUT_FinalEnergyCons!$A$4:$A$10000)))*1,[2]OUT_FinalEnergyCons!I$4:I$10000)</f>
        <v>9.9033590764220206E-2</v>
      </c>
      <c r="L2286" s="1" cm="1">
        <f t="array" ref="L2286">SUMPRODUCT(([2]OUT_FinalEnergyCons!$B$4:$B$10000="var_ncap")*1,  (ISNUMBER(SEARCH("ITOT-SWHWOD*BR",[2]OUT_FinalEnergyCons!$A$4:$A$10000)))*1,[2]OUT_FinalEnergyCons!J$4:J$10000)</f>
        <v>0.287453559230612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1.05363524761904E-2</v>
      </c>
      <c r="H2287" s="1">
        <f t="shared" si="2163"/>
        <v>2.50728135014529E-3</v>
      </c>
      <c r="I2287" s="1">
        <f t="shared" si="2163"/>
        <v>1.87249107764758E-3</v>
      </c>
      <c r="J2287" s="1">
        <f t="shared" si="2163"/>
        <v>2.9061822391616299E-2</v>
      </c>
      <c r="K2287" s="1">
        <f t="shared" si="2163"/>
        <v>1.4102930624907599E-2</v>
      </c>
      <c r="L2287" s="1">
        <f t="shared" si="2163"/>
        <v>1.95933841898044E-2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1.05363524761904E-2</v>
      </c>
      <c r="H2288" s="1" cm="1">
        <f t="array" ref="H2288">SUMPRODUCT(([1]OUT_FinalEnergyCons!$B$4:$B$10000="var_ncap")*1,  (ISNUMBER(SEARCH("ITOT-SWHPLT*BR",[1]OUT_FinalEnergyCons!$A$4:$A$10000)))*1,[1]OUT_FinalEnergyCons!F$4:F$10000)</f>
        <v>2.50728135014529E-3</v>
      </c>
      <c r="I2288" s="1" cm="1">
        <f t="array" ref="I2288">SUMPRODUCT(([1]OUT_FinalEnergyCons!$B$4:$B$10000="var_ncap")*1,  (ISNUMBER(SEARCH("ITOT-SWHPLT*BR",[1]OUT_FinalEnergyCons!$A$4:$A$10000)))*1,[1]OUT_FinalEnergyCons!G$4:G$10000)</f>
        <v>1.87249107764758E-3</v>
      </c>
      <c r="J2288" s="1" cm="1">
        <f t="array" ref="J2288">SUMPRODUCT(([2]OUT_FinalEnergyCons!$B$4:$B$10000="var_ncap")*1,  (ISNUMBER(SEARCH("ITOT-SWHPLT*BR",[2]OUT_FinalEnergyCons!$A$4:$A$10000)))*1,[2]OUT_FinalEnergyCons!H$4:H$10000)</f>
        <v>2.9061822391616299E-2</v>
      </c>
      <c r="K2288" s="1" cm="1">
        <f t="array" ref="K2288">SUMPRODUCT(([2]OUT_FinalEnergyCons!$B$4:$B$10000="var_ncap")*1,  (ISNUMBER(SEARCH("ITOT-SWHPLT*BR",[2]OUT_FinalEnergyCons!$A$4:$A$10000)))*1,[2]OUT_FinalEnergyCons!I$4:I$10000)</f>
        <v>1.4102930624907599E-2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1.95933841898044E-2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2.9534702156191198E-4</v>
      </c>
      <c r="H2289" s="1">
        <f t="shared" si="2164"/>
        <v>3.3034897794502402E-3</v>
      </c>
      <c r="I2289" s="1">
        <f t="shared" si="2164"/>
        <v>1.1035311799147401E-3</v>
      </c>
      <c r="J2289" s="1">
        <f t="shared" si="2164"/>
        <v>0.24067984238764301</v>
      </c>
      <c r="K2289" s="1">
        <f t="shared" si="2164"/>
        <v>8.4996221747567199E-2</v>
      </c>
      <c r="L2289" s="1">
        <f t="shared" si="2164"/>
        <v>6.6309456208574202E-2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2.9534702156191198E-4</v>
      </c>
      <c r="H2290" s="1" cm="1">
        <f t="array" ref="H2290">SUMPRODUCT(([1]OUT_FinalEnergyCons!$B$4:$B$10000="var_ncap")*1,  (ISNUMBER(SEARCH("ITOT-SWHWST*BR",[1]OUT_FinalEnergyCons!$A$4:$A$10000)))*1,[1]OUT_FinalEnergyCons!F$4:F$10000)</f>
        <v>3.3034897794502402E-3</v>
      </c>
      <c r="I2290" s="1" cm="1">
        <f t="array" ref="I2290">SUMPRODUCT(([1]OUT_FinalEnergyCons!$B$4:$B$10000="var_ncap")*1,  (ISNUMBER(SEARCH("ITOT-SWHWST*BR",[1]OUT_FinalEnergyCons!$A$4:$A$10000)))*1,[1]OUT_FinalEnergyCons!G$4:G$10000)</f>
        <v>1.1035311799147401E-3</v>
      </c>
      <c r="J2290" s="1" cm="1">
        <f t="array" ref="J2290">SUMPRODUCT(([2]OUT_FinalEnergyCons!$B$4:$B$10000="var_ncap")*1,  (ISNUMBER(SEARCH("ITOT-SWHWST*BR",[2]OUT_FinalEnergyCons!$A$4:$A$10000)))*1,[2]OUT_FinalEnergyCons!H$4:H$10000)</f>
        <v>0.24067984238764301</v>
      </c>
      <c r="K2290" s="1" cm="1">
        <f t="array" ref="K2290">SUMPRODUCT(([2]OUT_FinalEnergyCons!$B$4:$B$10000="var_ncap")*1,  (ISNUMBER(SEARCH("ITOT-SWHWST*BR",[2]OUT_FinalEnergyCons!$A$4:$A$10000)))*1,[2]OUT_FinalEnergyCons!I$4:I$10000)</f>
        <v>8.4996221747567199E-2</v>
      </c>
      <c r="L2290" s="1" cm="1">
        <f t="array" ref="L2290">SUMPRODUCT(([2]OUT_FinalEnergyCons!$B$4:$B$10000="var_ncap")*1,  (ISNUMBER(SEARCH("ITOT-SWHWST*BR",[2]OUT_FinalEnergyCons!$A$4:$A$10000)))*1,[2]OUT_FinalEnergyCons!J$4:J$10000)</f>
        <v>6.6309456208574202E-2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0.34313327500594498</v>
      </c>
      <c r="H2291" s="1">
        <f t="shared" si="2165"/>
        <v>8.8488025322031299E-7</v>
      </c>
      <c r="I2291" s="1">
        <f t="shared" si="2165"/>
        <v>1.0531388969334801E-6</v>
      </c>
      <c r="J2291" s="1">
        <f t="shared" si="2165"/>
        <v>8.4732599516473495E-2</v>
      </c>
      <c r="K2291" s="1">
        <f t="shared" si="2165"/>
        <v>8.3926995359720799E-2</v>
      </c>
      <c r="L2291" s="1">
        <f t="shared" si="2165"/>
        <v>7.1907548865443704E-2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0.34313327500594498</v>
      </c>
      <c r="H2292" s="1" cm="1">
        <f t="array" ref="H2292">SUMPRODUCT(([1]OUT_FinalEnergyCons!$B$4:$B$10000="var_ncap")*1, (ISNUMBER(SEARCH("ITOT-SWHSOLBR",[1]OUT_FinalEnergyCons!$A$4:$A$10000)))*1,[1]OUT_FinalEnergyCons!F$4:F$10000)</f>
        <v>8.8488025322031299E-7</v>
      </c>
      <c r="I2292" s="1" cm="1">
        <f t="array" ref="I2292">SUMPRODUCT(([1]OUT_FinalEnergyCons!$B$4:$B$10000="var_ncap")*1, (ISNUMBER(SEARCH("ITOT-SWHSOLBR",[1]OUT_FinalEnergyCons!$A$4:$A$10000)))*1,[1]OUT_FinalEnergyCons!G$4:G$10000)</f>
        <v>1.0531388969334801E-6</v>
      </c>
      <c r="J2292" s="1" cm="1">
        <f t="array" ref="J2292">SUMPRODUCT(([2]OUT_FinalEnergyCons!$B$4:$B$10000="var_ncap")*1, (ISNUMBER(SEARCH("ITOT-SWHSOLBR",[2]OUT_FinalEnergyCons!$A$4:$A$10000)))*1,[2]OUT_FinalEnergyCons!H$4:H$10000)</f>
        <v>8.4732599516473495E-2</v>
      </c>
      <c r="K2292" s="1" cm="1">
        <f t="array" ref="K2292">SUMPRODUCT(([2]OUT_FinalEnergyCons!$B$4:$B$10000="var_ncap")*1, (ISNUMBER(SEARCH("ITOT-SWHSOLBR",[2]OUT_FinalEnergyCons!$A$4:$A$10000)))*1,[2]OUT_FinalEnergyCons!I$4:I$10000)</f>
        <v>8.3926995359720799E-2</v>
      </c>
      <c r="L2292" s="1" cm="1">
        <f t="array" ref="L2292">SUMPRODUCT(([2]OUT_FinalEnergyCons!$B$4:$B$10000="var_ncap")*1, (ISNUMBER(SEARCH("ITOT-SWHSOLBR",[2]OUT_FinalEnergyCons!$A$4:$A$10000)))*1,[2]OUT_FinalEnergyCons!J$4:J$10000)</f>
        <v>7.1907548865443704E-2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0</v>
      </c>
      <c r="J2293" s="1">
        <f t="shared" si="2166"/>
        <v>0.64360476656361298</v>
      </c>
      <c r="K2293" s="1">
        <f t="shared" si="2166"/>
        <v>7.3616320591940496E-2</v>
      </c>
      <c r="L2293" s="1">
        <f t="shared" si="2166"/>
        <v>0.356133134930329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0.64360476656361298</v>
      </c>
      <c r="K2294" s="1" cm="1">
        <f t="array" ref="K2294">SUMPRODUCT(([2]OUT_FinalEnergyCons!$B$4:$B$10000="var_ncap")*1, (ISNUMBER(SEARCH("ITOT-SWHH2BR",[2]OUT_FinalEnergyCons!$A$4:$A$10000)))*1,[2]OUT_FinalEnergyCons!I$4:I$10000)</f>
        <v>7.3616320591940496E-2</v>
      </c>
      <c r="L2294" s="1" cm="1">
        <f t="array" ref="L2294">SUMPRODUCT(([2]OUT_FinalEnergyCons!$B$4:$B$10000="var_ncap")*1, (ISNUMBER(SEARCH("ITOT-SWHH2BR",[2]OUT_FinalEnergyCons!$A$4:$A$10000)))*1,[2]OUT_FinalEnergyCons!J$4:J$10000)</f>
        <v>0.356133134930329</v>
      </c>
      <c r="N2294" s="1"/>
    </row>
    <row r="2295" spans="2:14" x14ac:dyDescent="0.35">
      <c r="B2295" s="9" t="str">
        <f>SPS2_SOC_Low!B1813</f>
        <v>SPS1</v>
      </c>
      <c r="C2295" s="9" t="str">
        <f>SPS2_SOC_Low!C1813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4.8980211999556471E-4</v>
      </c>
      <c r="G2295" s="17">
        <f t="shared" si="2167"/>
        <v>3.7260120304049134E-2</v>
      </c>
      <c r="H2295" s="17">
        <f t="shared" si="2167"/>
        <v>0.23205991024202649</v>
      </c>
      <c r="I2295" s="17">
        <f t="shared" si="2167"/>
        <v>0.52992845017190382</v>
      </c>
      <c r="J2295" s="17">
        <f t="shared" si="2167"/>
        <v>2.3520025527612445</v>
      </c>
      <c r="K2295" s="17">
        <f t="shared" si="2167"/>
        <v>1.8806789423158303</v>
      </c>
      <c r="L2295" s="17">
        <f t="shared" ref="L2295" si="2168">SUM(L2296,L2299,L2301,L2305,L2307,L2309,L2311)</f>
        <v>1.92763924957046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1.0347839723323307E-4</v>
      </c>
      <c r="G2296" s="1">
        <f t="shared" si="2171"/>
        <v>4.0149637190773802E-5</v>
      </c>
      <c r="H2296" s="1">
        <f t="shared" si="2171"/>
        <v>7.4870150508725796E-5</v>
      </c>
      <c r="I2296" s="1">
        <f t="shared" si="2171"/>
        <v>0.20199201278873816</v>
      </c>
      <c r="J2296" s="1">
        <f t="shared" si="2171"/>
        <v>0.59564246133446208</v>
      </c>
      <c r="K2296" s="1">
        <f t="shared" si="2171"/>
        <v>0.50771089125974866</v>
      </c>
      <c r="L2296" s="1">
        <f t="shared" ref="L2296" si="2172">SUM(L2297:L2298)</f>
        <v>0.84901504847948683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9.6829738756829003E-5</v>
      </c>
      <c r="G2297" s="1" cm="1">
        <f t="array" ref="G2297">SUMPRODUCT(([1]OUT_FinalEnergyCons!$B$4:$B$10000="var_ncap")*1, (ISNUMBER(SEARCH("SCOM-SHELCBR",[1]OUT_FinalEnergyCons!$A$4:$A$10000)))*1,[1]OUT_FinalEnergyCons!E$4:E$10000)</f>
        <v>2.5009649616002901E-5</v>
      </c>
      <c r="H2297" s="1" cm="1">
        <f t="array" ref="H2297">SUMPRODUCT(([1]OUT_FinalEnergyCons!$B$4:$B$10000="var_ncap")*1, (ISNUMBER(SEARCH("SCOM-SHELCBR",[1]OUT_FinalEnergyCons!$A$4:$A$10000)))*1,[1]OUT_FinalEnergyCons!F$4:F$10000)</f>
        <v>2.6864813303570699E-5</v>
      </c>
      <c r="I2297" s="1" cm="1">
        <f t="array" ref="I2297">SUMPRODUCT(([1]OUT_FinalEnergyCons!$B$4:$B$10000="var_ncap")*1, (ISNUMBER(SEARCH("SCOM-SHELCBR",[1]OUT_FinalEnergyCons!$A$4:$A$10000)))*1,[1]OUT_FinalEnergyCons!G$4:G$10000)</f>
        <v>3.9002855856142701E-5</v>
      </c>
      <c r="J2297" s="1" cm="1">
        <f t="array" ref="J2297">SUMPRODUCT(([2]OUT_FinalEnergyCons!$B$4:$B$10000="var_ncap")*1, (ISNUMBER(SEARCH("SCOM-SHELCBR",[2]OUT_FinalEnergyCons!$A$4:$A$10000)))*1,[2]OUT_FinalEnergyCons!H$4:H$10000)</f>
        <v>1.6643210803334099E-2</v>
      </c>
      <c r="K2297" s="1" cm="1">
        <f t="array" ref="K2297">SUMPRODUCT(([2]OUT_FinalEnergyCons!$B$4:$B$10000="var_ncap")*1, (ISNUMBER(SEARCH("SCOM-SHELCBR",[2]OUT_FinalEnergyCons!$A$4:$A$10000)))*1,[2]OUT_FinalEnergyCons!I$4:I$10000)</f>
        <v>8.0252720467697096E-3</v>
      </c>
      <c r="L2297" s="1" cm="1">
        <f t="array" ref="L2297">SUMPRODUCT(([2]OUT_FinalEnergyCons!$B$4:$B$10000="var_ncap")*1, (ISNUMBER(SEARCH("SCOM-SHELCBR",[2]OUT_FinalEnergyCons!$A$4:$A$10000)))*1,[2]OUT_FinalEnergyCons!J$4:J$10000)</f>
        <v>4.5691970350257901E-3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6.6486584764040704E-6</v>
      </c>
      <c r="G2298" s="1" cm="1">
        <f t="array" ref="G2298">SUMPRODUCT(([1]OUT_FinalEnergyCons!$B$4:$B$10000="var_ncap")*1, (ISNUMBER(SEARCH("SCOM-SHELCHP",[1]OUT_FinalEnergyCons!$A$4:$A$10000)))*1,[1]OUT_FinalEnergyCons!E$4:E$10000)</f>
        <v>1.51399875747709E-5</v>
      </c>
      <c r="H2298" s="1" cm="1">
        <f t="array" ref="H2298">SUMPRODUCT(([1]OUT_FinalEnergyCons!$B$4:$B$10000="var_ncap")*1, (ISNUMBER(SEARCH("SCOM-SHELCHP",[1]OUT_FinalEnergyCons!$A$4:$A$10000)))*1,[1]OUT_FinalEnergyCons!F$4:F$10000)</f>
        <v>4.8005337205155101E-5</v>
      </c>
      <c r="I2298" s="1" cm="1">
        <f t="array" ref="I2298">SUMPRODUCT(([1]OUT_FinalEnergyCons!$B$4:$B$10000="var_ncap")*1, (ISNUMBER(SEARCH("SCOM-SHELCHP",[1]OUT_FinalEnergyCons!$A$4:$A$10000)))*1,[1]OUT_FinalEnergyCons!G$4:G$10000)</f>
        <v>0.20195300993288201</v>
      </c>
      <c r="J2298" s="1" cm="1">
        <f t="array" ref="J2298">SUMPRODUCT(([2]OUT_FinalEnergyCons!$B$4:$B$10000="var_ncap")*1, (ISNUMBER(SEARCH("SCOM-SHELCHP",[2]OUT_FinalEnergyCons!$A$4:$A$10000)))*1,[2]OUT_FinalEnergyCons!H$4:H$10000)</f>
        <v>0.578999250531128</v>
      </c>
      <c r="K2298" s="1" cm="1">
        <f t="array" ref="K2298">SUMPRODUCT(([2]OUT_FinalEnergyCons!$B$4:$B$10000="var_ncap")*1, (ISNUMBER(SEARCH("SCOM-SHELCHP",[2]OUT_FinalEnergyCons!$A$4:$A$10000)))*1,[2]OUT_FinalEnergyCons!I$4:I$10000)</f>
        <v>0.49968561921297899</v>
      </c>
      <c r="L2298" s="1" cm="1">
        <f t="array" ref="L2298">SUMPRODUCT(([2]OUT_FinalEnergyCons!$B$4:$B$10000="var_ncap")*1, (ISNUMBER(SEARCH("SCOM-SHELCHP",[2]OUT_FinalEnergyCons!$A$4:$A$10000)))*1,[2]OUT_FinalEnergyCons!J$4:J$10000)</f>
        <v>0.84444585144446105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4.4530037536301503E-5</v>
      </c>
      <c r="G2299" s="1">
        <f t="shared" si="2173"/>
        <v>2.17210904719528E-5</v>
      </c>
      <c r="H2299" s="1">
        <f t="shared" si="2173"/>
        <v>1.42338276648176E-5</v>
      </c>
      <c r="I2299" s="1">
        <f t="shared" si="2173"/>
        <v>1.9722071206102001E-5</v>
      </c>
      <c r="J2299" s="1">
        <f t="shared" si="2173"/>
        <v>0.43059876087939097</v>
      </c>
      <c r="K2299" s="1">
        <f t="shared" si="2173"/>
        <v>1.04875119132293E-5</v>
      </c>
      <c r="L2299" s="1">
        <f t="shared" si="2173"/>
        <v>5.9448173542214799E-7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4.4530037536301503E-5</v>
      </c>
      <c r="G2300" s="1" cm="1">
        <f t="array" ref="G2300">SUMPRODUCT(([1]OUT_FinalEnergyCons!$B$4:$B$10000="var_ncap")*1,(ISNUMBER(SEARCH("SCOM-SHLFOBR",[1]OUT_FinalEnergyCons!$A$4:$A$10000)))*1,[1]OUT_FinalEnergyCons!E$4:E$10000)</f>
        <v>2.17210904719528E-5</v>
      </c>
      <c r="H2300" s="1" cm="1">
        <f t="array" ref="H2300">SUMPRODUCT(([1]OUT_FinalEnergyCons!$B$4:$B$10000="var_ncap")*1,(ISNUMBER(SEARCH("SCOM-SHLFOBR",[1]OUT_FinalEnergyCons!$A$4:$A$10000)))*1,[1]OUT_FinalEnergyCons!F$4:F$10000)</f>
        <v>1.42338276648176E-5</v>
      </c>
      <c r="I2300" s="1" cm="1">
        <f t="array" ref="I2300">SUMPRODUCT(([1]OUT_FinalEnergyCons!$B$4:$B$10000="var_ncap")*1,(ISNUMBER(SEARCH("SCOM-SHLFOBR",[1]OUT_FinalEnergyCons!$A$4:$A$10000)))*1,[1]OUT_FinalEnergyCons!G$4:G$10000)</f>
        <v>1.9722071206102001E-5</v>
      </c>
      <c r="J2300" s="1" cm="1">
        <f t="array" ref="J2300">SUMPRODUCT(([2]OUT_FinalEnergyCons!$B$4:$B$10000="var_ncap")*1,(ISNUMBER(SEARCH("SCOM-SHLFOBR",[2]OUT_FinalEnergyCons!$A$4:$A$10000)))*1,[2]OUT_FinalEnergyCons!H$4:H$10000)</f>
        <v>0.43059876087939097</v>
      </c>
      <c r="K2300" s="1" cm="1">
        <f t="array" ref="K2300">SUMPRODUCT(([2]OUT_FinalEnergyCons!$B$4:$B$10000="var_ncap")*1,(ISNUMBER(SEARCH("SCOM-SHLFOBR",[2]OUT_FinalEnergyCons!$A$4:$A$10000)))*1,[2]OUT_FinalEnergyCons!I$4:I$10000)</f>
        <v>1.04875119132293E-5</v>
      </c>
      <c r="L2300" s="1" cm="1">
        <f t="array" ref="L2300">SUMPRODUCT(([2]OUT_FinalEnergyCons!$B$4:$B$10000="var_ncap")*1,(ISNUMBER(SEARCH("SCOM-SHLFOBR",[2]OUT_FinalEnergyCons!$A$4:$A$10000)))*1,[2]OUT_FinalEnergyCons!J$4:J$10000)</f>
        <v>5.9448173542214799E-7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2.6978472306389553E-5</v>
      </c>
      <c r="G2301" s="1">
        <f t="shared" si="2175"/>
        <v>1.4017178527661815E-3</v>
      </c>
      <c r="H2301" s="1">
        <f t="shared" si="2175"/>
        <v>0.18412199009369512</v>
      </c>
      <c r="I2301" s="1">
        <f t="shared" si="2175"/>
        <v>0.32765249202328534</v>
      </c>
      <c r="J2301" s="1">
        <f t="shared" si="2175"/>
        <v>0.64746250535617245</v>
      </c>
      <c r="K2301" s="1">
        <f t="shared" si="2175"/>
        <v>0.48454061616939809</v>
      </c>
      <c r="L2301" s="1">
        <f t="shared" ref="L2301" si="2176">SUM(L2302:L2304)</f>
        <v>0.50413194632269354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2.9012457790720198E-6</v>
      </c>
      <c r="G2302" s="1" cm="1">
        <f t="array" ref="G2302">SUMPRODUCT(([1]OUT_FinalEnergyCons!$B$4:$B$10000="var_ncap")*1, (ISNUMBER(SEARCH("SCOM-SHNGABR",[1]OUT_FinalEnergyCons!$A$4:$A$10000)))*1,[1]OUT_FinalEnergyCons!E$4:E$10000)</f>
        <v>1.64373638095966E-5</v>
      </c>
      <c r="H2302" s="1" cm="1">
        <f t="array" ref="H2302">SUMPRODUCT(([1]OUT_FinalEnergyCons!$B$4:$B$10000="var_ncap")*1, (ISNUMBER(SEARCH("SCOM-SHNGABR",[1]OUT_FinalEnergyCons!$A$4:$A$10000)))*1,[1]OUT_FinalEnergyCons!F$4:F$10000)</f>
        <v>1.5256804537481399E-5</v>
      </c>
      <c r="I2302" s="1" cm="1">
        <f t="array" ref="I2302">SUMPRODUCT(([1]OUT_FinalEnergyCons!$B$4:$B$10000="var_ncap")*1, (ISNUMBER(SEARCH("SCOM-SHNGABR",[1]OUT_FinalEnergyCons!$A$4:$A$10000)))*1,[1]OUT_FinalEnergyCons!G$4:G$10000)</f>
        <v>2.4841632924722501E-5</v>
      </c>
      <c r="J2302" s="1" cm="1">
        <f t="array" ref="J2302">SUMPRODUCT(([2]OUT_FinalEnergyCons!$B$4:$B$10000="var_ncap")*1, (ISNUMBER(SEARCH("SCOM-SHNGABR",[2]OUT_FinalEnergyCons!$A$4:$A$10000)))*1,[2]OUT_FinalEnergyCons!H$4:H$10000)</f>
        <v>0.50075603582151895</v>
      </c>
      <c r="K2302" s="1" cm="1">
        <f t="array" ref="K2302">SUMPRODUCT(([2]OUT_FinalEnergyCons!$B$4:$B$10000="var_ncap")*1, (ISNUMBER(SEARCH("SCOM-SHNGABR",[2]OUT_FinalEnergyCons!$A$4:$A$10000)))*1,[2]OUT_FinalEnergyCons!I$4:I$10000)</f>
        <v>4.5647494765119201E-2</v>
      </c>
      <c r="L2302" s="1" cm="1">
        <f t="array" ref="L2302">SUMPRODUCT(([2]OUT_FinalEnergyCons!$B$4:$B$10000="var_ncap")*1, (ISNUMBER(SEARCH("SCOM-SHNGABR",[2]OUT_FinalEnergyCons!$A$4:$A$10000)))*1,[2]OUT_FinalEnergyCons!J$4:J$10000)</f>
        <v>1.5329212492743801E-5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7.2945082589676304E-6</v>
      </c>
      <c r="G2303" s="1" cm="1">
        <f t="array" ref="G2303">SUMPRODUCT(([1]OUT_FinalEnergyCons!$B$4:$B$10000="var_ncap")*1, (ISNUMBER(SEARCH("SCOM-SHngahp",[1]OUT_FinalEnergyCons!$A$4:$A$10000)))*1,[1]OUT_FinalEnergyCons!E$4:E$10000)</f>
        <v>1.1004426603172699E-3</v>
      </c>
      <c r="H2303" s="1" cm="1">
        <f t="array" ref="H2303">SUMPRODUCT(([1]OUT_FinalEnergyCons!$B$4:$B$10000="var_ncap")*1, (ISNUMBER(SEARCH("SCOM-SHngahp",[1]OUT_FinalEnergyCons!$A$4:$A$10000)))*1,[1]OUT_FinalEnergyCons!F$4:F$10000)</f>
        <v>0.184093500600783</v>
      </c>
      <c r="I2303" s="1" cm="1">
        <f t="array" ref="I2303">SUMPRODUCT(([1]OUT_FinalEnergyCons!$B$4:$B$10000="var_ncap")*1, (ISNUMBER(SEARCH("SCOM-SHngahp",[1]OUT_FinalEnergyCons!$A$4:$A$10000)))*1,[1]OUT_FinalEnergyCons!G$4:G$10000)</f>
        <v>0.327606639103666</v>
      </c>
      <c r="J2303" s="1" cm="1">
        <f t="array" ref="J2303">SUMPRODUCT(([2]OUT_FinalEnergyCons!$B$4:$B$10000="var_ncap")*1, (ISNUMBER(SEARCH("SCOM-SHngahp",[2]OUT_FinalEnergyCons!$A$4:$A$10000)))*1,[2]OUT_FinalEnergyCons!H$4:H$10000)</f>
        <v>0.14663801280841099</v>
      </c>
      <c r="K2303" s="1" cm="1">
        <f t="array" ref="K2303">SUMPRODUCT(([2]OUT_FinalEnergyCons!$B$4:$B$10000="var_ncap")*1, (ISNUMBER(SEARCH("SCOM-SHngahp",[2]OUT_FinalEnergyCons!$A$4:$A$10000)))*1,[2]OUT_FinalEnergyCons!I$4:I$10000)</f>
        <v>0.43878803191986498</v>
      </c>
      <c r="L2303" s="1" cm="1">
        <f t="array" ref="L2303">SUMPRODUCT(([2]OUT_FinalEnergyCons!$B$4:$B$10000="var_ncap")*1, (ISNUMBER(SEARCH("SCOM-SHngahp",[2]OUT_FinalEnergyCons!$A$4:$A$10000)))*1,[2]OUT_FinalEnergyCons!J$4:J$10000)</f>
        <v>0.504056868033528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1.6782718268349901E-5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2.8483782863931501E-4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1.3232688374630299E-5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2.1011286694650001E-5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6.8456726242591099E-5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1.05089484413901E-4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5.9749076672884601E-5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1.3126125075240799E-4</v>
      </c>
      <c r="G2305" s="1">
        <f t="shared" si="2177"/>
        <v>1.00361653279643E-4</v>
      </c>
      <c r="H2305" s="1">
        <f t="shared" si="2177"/>
        <v>4.7798161312985803E-2</v>
      </c>
      <c r="I2305" s="1">
        <f t="shared" si="2177"/>
        <v>3.6075211316188E-5</v>
      </c>
      <c r="J2305" s="1">
        <f t="shared" si="2177"/>
        <v>0.27097589050916698</v>
      </c>
      <c r="K2305" s="1">
        <f t="shared" si="2177"/>
        <v>9.6871867321562194E-2</v>
      </c>
      <c r="L2305" s="1">
        <f t="shared" si="2177"/>
        <v>8.5857657106804097E-2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1.3126125075240799E-4</v>
      </c>
      <c r="G2306" s="1" cm="1">
        <f t="array" ref="G2306">SUMPRODUCT(([1]OUT_FinalEnergyCons!$B$4:$B$10000="var_ncap")*1, (ISNUMBER(SEARCH("SCOM-SHWODBR",[1]OUT_FinalEnergyCons!$A$4:$A$10000)))*1,[1]OUT_FinalEnergyCons!E$4:E$10000)</f>
        <v>1.00361653279643E-4</v>
      </c>
      <c r="H2306" s="1" cm="1">
        <f t="array" ref="H2306">SUMPRODUCT(([1]OUT_FinalEnergyCons!$B$4:$B$10000="var_ncap")*1, (ISNUMBER(SEARCH("SCOM-SHWODBR",[1]OUT_FinalEnergyCons!$A$4:$A$10000)))*1,[1]OUT_FinalEnergyCons!F$4:F$10000)</f>
        <v>4.7798161312985803E-2</v>
      </c>
      <c r="I2306" s="1" cm="1">
        <f t="array" ref="I2306">SUMPRODUCT(([1]OUT_FinalEnergyCons!$B$4:$B$10000="var_ncap")*1, (ISNUMBER(SEARCH("SCOM-SHWODBR",[1]OUT_FinalEnergyCons!$A$4:$A$10000)))*1,[1]OUT_FinalEnergyCons!G$4:G$10000)</f>
        <v>3.6075211316188E-5</v>
      </c>
      <c r="J2306" s="1" cm="1">
        <f t="array" ref="J2306">SUMPRODUCT(([2]OUT_FinalEnergyCons!$B$4:$B$10000="var_ncap")*1, (ISNUMBER(SEARCH("SCOM-SHWODBR",[2]OUT_FinalEnergyCons!$A$4:$A$10000)))*1,[2]OUT_FinalEnergyCons!H$4:H$10000)</f>
        <v>0.27097589050916698</v>
      </c>
      <c r="K2306" s="1" cm="1">
        <f t="array" ref="K2306">SUMPRODUCT(([2]OUT_FinalEnergyCons!$B$4:$B$10000="var_ncap")*1, (ISNUMBER(SEARCH("SCOM-SHWODBR",[2]OUT_FinalEnergyCons!$A$4:$A$10000)))*1,[2]OUT_FinalEnergyCons!I$4:I$10000)</f>
        <v>9.6871867321562194E-2</v>
      </c>
      <c r="L2306" s="1" cm="1">
        <f t="array" ref="L2306">SUMPRODUCT(([2]OUT_FinalEnergyCons!$B$4:$B$10000="var_ncap")*1, (ISNUMBER(SEARCH("SCOM-SHWODBR",[2]OUT_FinalEnergyCons!$A$4:$A$10000)))*1,[2]OUT_FinalEnergyCons!J$4:J$10000)</f>
        <v>8.5857657106804097E-2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2.42001420874426E-5</v>
      </c>
      <c r="G2307" s="1">
        <f t="shared" si="2178"/>
        <v>2.6296532478893402E-2</v>
      </c>
      <c r="H2307" s="1">
        <f t="shared" si="2178"/>
        <v>7.1920069004541697E-6</v>
      </c>
      <c r="I2307" s="1">
        <f t="shared" si="2178"/>
        <v>1.2354847035082E-4</v>
      </c>
      <c r="J2307" s="1">
        <f t="shared" si="2178"/>
        <v>2.2820805474996299E-2</v>
      </c>
      <c r="K2307" s="1">
        <f t="shared" si="2178"/>
        <v>3.4435102307380401E-2</v>
      </c>
      <c r="L2307" s="1">
        <f t="shared" si="2178"/>
        <v>2.6309695282279201E-2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2.42001420874426E-5</v>
      </c>
      <c r="G2308" s="1" cm="1">
        <f t="array" ref="G2308">SUMPRODUCT(([1]OUT_FinalEnergyCons!$B$4:$B$10000="var_ncap")*1,(ISNUMBER(SEARCH("SCOM-SHPLTBR",[1]OUT_FinalEnergyCons!$A$4:$A$10000)))*1,[1]OUT_FinalEnergyCons!E$4:E$10000)</f>
        <v>2.6296532478893402E-2</v>
      </c>
      <c r="H2308" s="1" cm="1">
        <f t="array" ref="H2308">SUMPRODUCT(([1]OUT_FinalEnergyCons!$B$4:$B$10000="var_ncap")*1,(ISNUMBER(SEARCH("SCOM-SHPLTBR",[1]OUT_FinalEnergyCons!$A$4:$A$10000)))*1,[1]OUT_FinalEnergyCons!F$4:F$10000)</f>
        <v>7.1920069004541697E-6</v>
      </c>
      <c r="I2308" s="1" cm="1">
        <f t="array" ref="I2308">SUMPRODUCT(([1]OUT_FinalEnergyCons!$B$4:$B$10000="var_ncap")*1,(ISNUMBER(SEARCH("SCOM-SHPLTBR",[1]OUT_FinalEnergyCons!$A$4:$A$10000)))*1,[1]OUT_FinalEnergyCons!G$4:G$10000)</f>
        <v>1.2354847035082E-4</v>
      </c>
      <c r="J2308" s="1" cm="1">
        <f t="array" ref="J2308">SUMPRODUCT(([2]OUT_FinalEnergyCons!$B$4:$B$10000="var_ncap")*1,(ISNUMBER(SEARCH("SCOM-SHPLTBR",[2]OUT_FinalEnergyCons!$A$4:$A$10000)))*1,[2]OUT_FinalEnergyCons!H$4:H$10000)</f>
        <v>2.2820805474996299E-2</v>
      </c>
      <c r="K2308" s="1" cm="1">
        <f t="array" ref="K2308">SUMPRODUCT(([2]OUT_FinalEnergyCons!$B$4:$B$10000="var_ncap")*1,(ISNUMBER(SEARCH("SCOM-SHPLTBR",[2]OUT_FinalEnergyCons!$A$4:$A$10000)))*1,[2]OUT_FinalEnergyCons!I$4:I$10000)</f>
        <v>3.4435102307380401E-2</v>
      </c>
      <c r="L2308" s="1" cm="1">
        <f t="array" ref="L2308">SUMPRODUCT(([2]OUT_FinalEnergyCons!$B$4:$B$10000="var_ncap")*1,(ISNUMBER(SEARCH("SCOM-SHPLTBR",[2]OUT_FinalEnergyCons!$A$4:$A$10000)))*1,[2]OUT_FinalEnergyCons!J$4:J$10000)</f>
        <v>2.6309695282279201E-2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1.5935382007979001E-4</v>
      </c>
      <c r="G2309" s="1">
        <f t="shared" si="2179"/>
        <v>9.39963759144718E-3</v>
      </c>
      <c r="H2309" s="1">
        <f t="shared" si="2179"/>
        <v>4.34628502715629E-5</v>
      </c>
      <c r="I2309" s="1">
        <f t="shared" si="2179"/>
        <v>8.9556565707593706E-5</v>
      </c>
      <c r="J2309" s="1">
        <f t="shared" si="2179"/>
        <v>6.9079946561738506E-2</v>
      </c>
      <c r="K2309" s="1">
        <f t="shared" si="2179"/>
        <v>4.9428054118729602E-2</v>
      </c>
      <c r="L2309" s="1">
        <f t="shared" si="2179"/>
        <v>6.4109438774072894E-2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1.5935382007979001E-4</v>
      </c>
      <c r="G2310" s="1" cm="1">
        <f t="array" ref="G2310">SUMPRODUCT(([1]OUT_FinalEnergyCons!$B$4:$B$10000="var_ncap")*1, (ISNUMBER(SEARCH("SCOM-SHSOLBR",[1]OUT_FinalEnergyCons!$A$4:$A$10000)))*1,[1]OUT_FinalEnergyCons!E$4:E$10000)</f>
        <v>9.39963759144718E-3</v>
      </c>
      <c r="H2310" s="1" cm="1">
        <f t="array" ref="H2310">SUMPRODUCT(([1]OUT_FinalEnergyCons!$B$4:$B$10000="var_ncap")*1, (ISNUMBER(SEARCH("SCOM-SHSOLBR",[1]OUT_FinalEnergyCons!$A$4:$A$10000)))*1,[1]OUT_FinalEnergyCons!F$4:F$10000)</f>
        <v>4.34628502715629E-5</v>
      </c>
      <c r="I2310" s="1" cm="1">
        <f t="array" ref="I2310">SUMPRODUCT(([1]OUT_FinalEnergyCons!$B$4:$B$10000="var_ncap")*1, (ISNUMBER(SEARCH("SCOM-SHSOLBR",[1]OUT_FinalEnergyCons!$A$4:$A$10000)))*1,[1]OUT_FinalEnergyCons!G$4:G$10000)</f>
        <v>8.9556565707593706E-5</v>
      </c>
      <c r="J2310" s="1" cm="1">
        <f t="array" ref="J2310">SUMPRODUCT(([2]OUT_FinalEnergyCons!$B$4:$B$10000="var_ncap")*1, (ISNUMBER(SEARCH("SCOM-SHSOLBR",[2]OUT_FinalEnergyCons!$A$4:$A$10000)))*1,[2]OUT_FinalEnergyCons!H$4:H$10000)</f>
        <v>6.9079946561738506E-2</v>
      </c>
      <c r="K2310" s="1" cm="1">
        <f t="array" ref="K2310">SUMPRODUCT(([2]OUT_FinalEnergyCons!$B$4:$B$10000="var_ncap")*1, (ISNUMBER(SEARCH("SCOM-SHSOLBR",[2]OUT_FinalEnergyCons!$A$4:$A$10000)))*1,[2]OUT_FinalEnergyCons!I$4:I$10000)</f>
        <v>4.9428054118729602E-2</v>
      </c>
      <c r="L2310" s="1" cm="1">
        <f t="array" ref="L2310">SUMPRODUCT(([2]OUT_FinalEnergyCons!$B$4:$B$10000="var_ncap")*1, (ISNUMBER(SEARCH("SCOM-SHSOLBR",[2]OUT_FinalEnergyCons!$A$4:$A$10000)))*1,[2]OUT_FinalEnergyCons!J$4:J$10000)</f>
        <v>6.4109438774072894E-2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1.50430412996553E-5</v>
      </c>
      <c r="J2311" s="1">
        <f t="shared" si="2180"/>
        <v>0.31542218264531702</v>
      </c>
      <c r="K2311" s="1">
        <f t="shared" si="2180"/>
        <v>0.70768192362709803</v>
      </c>
      <c r="L2311" s="1">
        <f t="shared" si="2180"/>
        <v>0.39821486912338799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1.50430412996553E-5</v>
      </c>
      <c r="J2312" s="1" cm="1">
        <f t="array" ref="J2312">SUMPRODUCT(([2]OUT_FinalEnergyCons!$B$4:$B$10000="var_ncap")*1, (ISNUMBER(SEARCH("SCOM-SHH2BR",[2]OUT_FinalEnergyCons!$A$4:$A$10000)))*1,[2]OUT_FinalEnergyCons!H$4:H$10000)</f>
        <v>0.31542218264531702</v>
      </c>
      <c r="K2312" s="1" cm="1">
        <f t="array" ref="K2312">SUMPRODUCT(([2]OUT_FinalEnergyCons!$B$4:$B$10000="var_ncap")*1, (ISNUMBER(SEARCH("SCOM-SHH2BR",[2]OUT_FinalEnergyCons!$A$4:$A$10000)))*1,[2]OUT_FinalEnergyCons!I$4:I$10000)</f>
        <v>0.70768192362709803</v>
      </c>
      <c r="L2312" s="1" cm="1">
        <f t="array" ref="L2312">SUMPRODUCT(([2]OUT_FinalEnergyCons!$B$4:$B$10000="var_ncap")*1, (ISNUMBER(SEARCH("SCOM-SHH2BR",[2]OUT_FinalEnergyCons!$A$4:$A$10000)))*1,[2]OUT_FinalEnergyCons!J$4:J$10000)</f>
        <v>0.39821486912338799</v>
      </c>
      <c r="N2312" s="1"/>
    </row>
    <row r="2313" spans="2:14" x14ac:dyDescent="0.35">
      <c r="B2313" s="5" t="str">
        <f>SPS2_SOC_Low!B2021</f>
        <v>SPS1</v>
      </c>
      <c r="C2313" s="5" t="str">
        <f>SPS2_SOC_Low!C2021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2.6353821030730001E-3</v>
      </c>
      <c r="G2313" s="3">
        <f t="shared" si="2181"/>
        <v>6.5646331272761299E-5</v>
      </c>
      <c r="H2313" s="3">
        <f t="shared" si="2181"/>
        <v>1.3748325669458501E-4</v>
      </c>
      <c r="I2313" s="3">
        <f t="shared" si="2181"/>
        <v>4.8715950564662373E-3</v>
      </c>
      <c r="J2313" s="3">
        <f t="shared" si="2181"/>
        <v>0.37113228792624597</v>
      </c>
      <c r="K2313" s="3">
        <f t="shared" si="2181"/>
        <v>3.776513954477406</v>
      </c>
      <c r="L2313" s="3">
        <f t="shared" ref="L2313" si="2182">SUM(L2314,L2318,L2321)</f>
        <v>0.86607970262137368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2.6353821030730001E-3</v>
      </c>
      <c r="G2314" s="1" cm="1">
        <f t="array" ref="G2314">SUMPRODUCT(ISNUMBER(SEARCH("SUP_ELCH2*",[1]OUT_SyntheticFuels!$C$4:$C$1000))*1,("var_ncap"=[1]OUT_SyntheticFuels!$B$4:$B$1000)*1,[1]OUT_SyntheticFuels!F$4:F$1000)</f>
        <v>6.5646331272761299E-5</v>
      </c>
      <c r="H2314" s="1" cm="1">
        <f t="array" ref="H2314">SUMPRODUCT(ISNUMBER(SEARCH("SUP_ELCH2*",[1]OUT_SyntheticFuels!$C$4:$C$1000))*1,("var_ncap"=[1]OUT_SyntheticFuels!$B$4:$B$1000)*1,[1]OUT_SyntheticFuels!G$4:G$1000)</f>
        <v>1.3748325669458501E-4</v>
      </c>
      <c r="I2314" s="1" cm="1">
        <f t="array" ref="I2314">SUMPRODUCT(ISNUMBER(SEARCH("SUP_ELCH2*",[1]OUT_SyntheticFuels!$C$4:$C$1000))*1,("var_ncap"=[1]OUT_SyntheticFuels!$B$4:$B$1000)*1,[1]OUT_SyntheticFuels!H$4:H$1000)</f>
        <v>3.9758858956961338E-3</v>
      </c>
      <c r="J2314" s="1" cm="1">
        <f t="array" ref="J2314">SUMPRODUCT(ISNUMBER(SEARCH("SUP_ELCH2*",[2]OUT_SyntheticFuels!$C$4:$C$1000))*1,("var_ncap"=[2]OUT_SyntheticFuels!$B$4:$B$1000)*1,[2]OUT_SyntheticFuels!I$4:I$1000)</f>
        <v>0.32991827209110325</v>
      </c>
      <c r="K2314" s="1" cm="1">
        <f t="array" ref="K2314">SUMPRODUCT(ISNUMBER(SEARCH("SUP_ELCH2*",[2]OUT_SyntheticFuels!$C$4:$C$1000))*1,("var_ncap"=[2]OUT_SyntheticFuels!$B$4:$B$1000)*1,[2]OUT_SyntheticFuels!J$4:J$1000)</f>
        <v>3.7057492953370934</v>
      </c>
      <c r="L2314" s="1" cm="1">
        <f t="array" ref="L2314">SUMPRODUCT(ISNUMBER(SEARCH("SUP_ELCH2*",[2]OUT_SyntheticFuels!$C$4:$C$1000))*1,("var_ncap"=[2]OUT_SyntheticFuels!$B$4:$B$1000)*1,[2]OUT_SyntheticFuels!K$4:K$1000)</f>
        <v>0.86586090691245043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2.6353821030730001E-3</v>
      </c>
      <c r="G2315" s="1">
        <f t="shared" si="2185"/>
        <v>6.5646331272761299E-5</v>
      </c>
      <c r="H2315" s="1">
        <f t="shared" si="2185"/>
        <v>1.3748325669458501E-4</v>
      </c>
      <c r="I2315" s="1">
        <f t="shared" si="2185"/>
        <v>3.8335980500460898E-3</v>
      </c>
      <c r="J2315" s="1">
        <f t="shared" si="2185"/>
        <v>0.32990097016577302</v>
      </c>
      <c r="K2315" s="1">
        <f t="shared" si="2185"/>
        <v>2.0540283556045602</v>
      </c>
      <c r="L2315" s="1">
        <f t="shared" ref="L2315" si="2186">L2314-L2316-L2317</f>
        <v>0.76196685253873597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1.42287845650044E-4</v>
      </c>
      <c r="J2316" s="1" cm="1">
        <f t="array" ref="J2316">SUMPRODUCT(ISNUMBER(SEARCH("SUP_ELCH2*D",[2]OUT_SyntheticFuels!$C$4:$C$1000))*1,("var_ncap"=[2]OUT_SyntheticFuels!$B$4:$B$1000)*1,[2]OUT_SyntheticFuels!I$4:I$1000)</f>
        <v>1.7301925330217702E-5</v>
      </c>
      <c r="K2316" s="1" cm="1">
        <f t="array" ref="K2316">SUMPRODUCT(ISNUMBER(SEARCH("SUP_ELCH2*D",[2]OUT_SyntheticFuels!$C$4:$C$1000))*1,("var_ncap"=[2]OUT_SyntheticFuels!$B$4:$B$1000)*1,[2]OUT_SyntheticFuels!J$4:J$1000)</f>
        <v>1.64296278592079</v>
      </c>
      <c r="L2316" s="1" cm="1">
        <f t="array" ref="L2316">SUMPRODUCT(ISNUMBER(SEARCH("SUP_ELCH2*D",[2]OUT_SyntheticFuels!$C$4:$C$1000))*1,("var_ncap"=[2]OUT_SyntheticFuels!$B$4:$B$1000)*1,[2]OUT_SyntheticFuels!K$4:K$1000)</f>
        <v>9.5418093545084806E-2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8.7581538117431808E-3</v>
      </c>
      <c r="L2317" s="1" cm="1">
        <f t="array" ref="L2317">SUMPRODUCT(ISNUMBER(SEARCH("SUP_ELCH2*SOEC*",[2]OUT_SyntheticFuels!$C$4:$C$1000))*1,("var_ncap"=[2]OUT_SyntheticFuels!$B$4:$B$1000)*1,[2]OUT_SyntheticFuels!K$4:K$1000)</f>
        <v>8.4759608286296504E-3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8.3647918781319503E-6</v>
      </c>
      <c r="J2318" s="1">
        <f t="shared" si="2187"/>
        <v>2.3096205753703699E-6</v>
      </c>
      <c r="K2318" s="1">
        <f t="shared" si="2187"/>
        <v>3.22484440112592E-6</v>
      </c>
      <c r="L2318" s="1">
        <f t="shared" ref="L2318" si="2188">SUM(L2319:L2320)</f>
        <v>2.171534051782061E-4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8.3647918781319503E-6</v>
      </c>
      <c r="J2319" s="1" cm="1">
        <f t="array" ref="J2319">SUMPRODUCT(ISNUMBER(SEARCH("SUP_NGAH2",[2]OUT_SyntheticFuels!$C$4:$C$1000))*1,("var_ncap"=[2]OUT_SyntheticFuels!$B$4:$B$1000)*1,[2]OUT_SyntheticFuels!I$4:I$1000)-J2320</f>
        <v>2.3096205753703699E-6</v>
      </c>
      <c r="K2319" s="1" cm="1">
        <f t="array" ref="K2319">SUMPRODUCT(ISNUMBER(SEARCH("SUP_NGAH2",[2]OUT_SyntheticFuels!$C$4:$C$1000))*1,("var_ncap"=[2]OUT_SyntheticFuels!$B$4:$B$1000)*1,[2]OUT_SyntheticFuels!J$4:J$1000)-K2320</f>
        <v>2.4626953511075299E-6</v>
      </c>
      <c r="L2319" s="1" cm="1">
        <f t="array" ref="L2319">SUMPRODUCT(ISNUMBER(SEARCH("SUP_NGAH2",[2]OUT_SyntheticFuels!$C$4:$C$1000))*1,("var_ncap"=[2]OUT_SyntheticFuels!$B$4:$B$1000)*1,[2]OUT_SyntheticFuels!K$4:K$1000)-L2320</f>
        <v>1.2572880125343001E-4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7.6214905001838996E-7</v>
      </c>
      <c r="L2320" s="1" cm="1">
        <f t="array" ref="L2320">SUMPRODUCT(ISNUMBER(SEARCH("SUP_NGAH2CCS",[2]OUT_SyntheticFuels!$C$4:$C$1000))*1,("var_ncap"=[2]OUT_SyntheticFuels!$B$4:$B$1000)*1,[2]OUT_SyntheticFuels!K$4:K$1000)</f>
        <v>9.1424603924776098E-5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8.8734436889197196E-4</v>
      </c>
      <c r="J2321" s="1">
        <f t="shared" si="2189"/>
        <v>4.1211706214567399E-2</v>
      </c>
      <c r="K2321" s="1">
        <f t="shared" si="2189"/>
        <v>7.0761434295911502E-2</v>
      </c>
      <c r="L2321" s="1">
        <f t="shared" ref="L2321" si="2190">SUM(L2322:L2323)</f>
        <v>1.6423037450208699E-6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8.8734436889197196E-4</v>
      </c>
      <c r="J2322" s="1" cm="1">
        <f t="array" ref="J2322">SUMPRODUCT(ISNUMBER(SEARCH("SUP_WODH2",[2]OUT_SyntheticFuels!$C$4:$C$1000))*1,("var_ncap"=[2]OUT_SyntheticFuels!$B$4:$B$1000)*1,[2]OUT_SyntheticFuels!I$4:I$1000)-J2323</f>
        <v>4.1211706214567399E-2</v>
      </c>
      <c r="K2322" s="1" cm="1">
        <f t="array" ref="K2322">SUMPRODUCT(ISNUMBER(SEARCH("SUP_WODH2",[2]OUT_SyntheticFuels!$C$4:$C$1000))*1,("var_ncap"=[2]OUT_SyntheticFuels!$B$4:$B$1000)*1,[2]OUT_SyntheticFuels!J$4:J$1000)-K2323</f>
        <v>7.0761434295911502E-2</v>
      </c>
      <c r="L2322" s="1" cm="1">
        <f t="array" ref="L2322">SUMPRODUCT(ISNUMBER(SEARCH("SUP_WODH2",[2]OUT_SyntheticFuels!$C$4:$C$1000))*1,("var_ncap"=[2]OUT_SyntheticFuels!$B$4:$B$1000)*1,[2]OUT_SyntheticFuels!K$4:K$1000)-L2323</f>
        <v>1.6423037450208699E-6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1.5317256403648201E-5</v>
      </c>
      <c r="G2325" s="7" cm="1">
        <f t="array" ref="G2325">SUMPRODUCT(("CT_CWODBDS"=[1]OUT_SyntheticFuels!$C$4:$C$1000)*1,("var_ncap"=[1]OUT_SyntheticFuels!$B$4:$B$1000)*1,[1]OUT_SyntheticFuels!F$4:F$1000)</f>
        <v>4.8524294647227398E-6</v>
      </c>
      <c r="H2325" s="7" cm="1">
        <f t="array" ref="H2325">SUMPRODUCT(("CT_CWODBDS"=[1]OUT_SyntheticFuels!$C$4:$C$1000)*1,("var_ncap"=[1]OUT_SyntheticFuels!$B$4:$B$1000)*1,[1]OUT_SyntheticFuels!G$4:G$1000)</f>
        <v>2.0768275224184099E-5</v>
      </c>
      <c r="I2325" s="7" cm="1">
        <f t="array" ref="I2325">SUMPRODUCT(("CT_CWODBDS"=[1]OUT_SyntheticFuels!$C$4:$C$1000)*1,("var_ncap"=[1]OUT_SyntheticFuels!$B$4:$B$1000)*1,[1]OUT_SyntheticFuels!H$4:H$1000)</f>
        <v>7.6793403797711493E-6</v>
      </c>
      <c r="J2325" s="7" cm="1">
        <f t="array" ref="J2325">SUMPRODUCT(("CT_CWODBDS"=[2]OUT_SyntheticFuels!$C$4:$C$1000)*1,("var_ncap"=[2]OUT_SyntheticFuels!$B$4:$B$1000)*1,[2]OUT_SyntheticFuels!I$4:I$1000)</f>
        <v>6.2316728312348098E-5</v>
      </c>
      <c r="K2325" s="7" cm="1">
        <f t="array" ref="K2325">SUMPRODUCT(("CT_CWODBDS"=[2]OUT_SyntheticFuels!$C$4:$C$1000)*1,("var_ncap"=[2]OUT_SyntheticFuels!$B$4:$B$1000)*1,[2]OUT_SyntheticFuels!J$4:J$1000)</f>
        <v>3.2316950683860101E-3</v>
      </c>
      <c r="L2325" s="7" cm="1">
        <f t="array" ref="L2325">SUMPRODUCT(("CT_CWODBDS"=[2]OUT_SyntheticFuels!$C$4:$C$1000)*1,("var_ncap"=[2]OUT_SyntheticFuels!$B$4:$B$1000)*1,[2]OUT_SyntheticFuels!K$4:K$1000)</f>
        <v>1.5417696484704499E-6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5.7310982874705603E-2</v>
      </c>
      <c r="G2327" s="7" cm="1">
        <f t="array" ref="G2327">SUMPRODUCT(("CT_CWODETH"=[1]OUT_SyntheticFuels!$C$4:$C$1000)*1,("var_ncap"=[1]OUT_SyntheticFuels!$B$4:$B$1000)*1,[1]OUT_SyntheticFuels!F$4:F$1000)</f>
        <v>9.8684992321100103E-6</v>
      </c>
      <c r="H2327" s="7" cm="1">
        <f t="array" ref="H2327">SUMPRODUCT(("CT_CWODETH"=[1]OUT_SyntheticFuels!$C$4:$C$1000)*1,("var_ncap"=[1]OUT_SyntheticFuels!$B$4:$B$1000)*1,[1]OUT_SyntheticFuels!G$4:G$1000)</f>
        <v>3.5562804649126702E-3</v>
      </c>
      <c r="I2327" s="7" cm="1">
        <f t="array" ref="I2327">SUMPRODUCT(("CT_CWODETH"=[1]OUT_SyntheticFuels!$C$4:$C$1000)*1,("var_ncap"=[1]OUT_SyntheticFuels!$B$4:$B$1000)*1,[1]OUT_SyntheticFuels!H$4:H$1000)</f>
        <v>1.5126942843208599E-2</v>
      </c>
      <c r="J2327" s="7" cm="1">
        <f t="array" ref="J2327">SUMPRODUCT(("CT_CWODETH"=[2]OUT_SyntheticFuels!$C$4:$C$1000)*1,("var_ncap"=[2]OUT_SyntheticFuels!$B$4:$B$1000)*1,[2]OUT_SyntheticFuels!I$4:I$1000)</f>
        <v>7.0820299588445901E-7</v>
      </c>
      <c r="K2327" s="7" cm="1">
        <f t="array" ref="K2327">SUMPRODUCT(("CT_CWODETH"=[2]OUT_SyntheticFuels!$C$4:$C$1000)*1,("var_ncap"=[2]OUT_SyntheticFuels!$B$4:$B$1000)*1,[2]OUT_SyntheticFuels!J$4:J$1000)</f>
        <v>1.3001422548555899E-6</v>
      </c>
      <c r="L2327" s="7" cm="1">
        <f t="array" ref="L2327">SUMPRODUCT(("CT_CWODETH"=[2]OUT_SyntheticFuels!$C$4:$C$1000)*1,("var_ncap"=[2]OUT_SyntheticFuels!$B$4:$B$1000)*1,[2]OUT_SyntheticFuels!K$4:K$1000)</f>
        <v>5.3294821763944098E-5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6.8337729709203501E-2</v>
      </c>
      <c r="G2329" s="7" cm="1">
        <f t="array" ref="G2329">SUMPRODUCT(("SUP_MNRBIO"=[1]OUT_SyntheticFuels!$C$4:$C$1000)*1,("var_ncap"=[1]OUT_SyntheticFuels!$B$4:$B$1000)*1,[1]OUT_SyntheticFuels!F$4:F$1000)</f>
        <v>9.4216443464120697E-2</v>
      </c>
      <c r="H2329" s="7" cm="1">
        <f t="array" ref="H2329">SUMPRODUCT(("SUP_MNRBIO"=[1]OUT_SyntheticFuels!$C$4:$C$1000)*1,("var_ncap"=[1]OUT_SyntheticFuels!$B$4:$B$1000)*1,[1]OUT_SyntheticFuels!G$4:G$1000)</f>
        <v>3.9088497292194297E-5</v>
      </c>
      <c r="I2329" s="7" cm="1">
        <f t="array" ref="I2329">SUMPRODUCT(("SUP_MNRBIO"=[1]OUT_SyntheticFuels!$C$4:$C$1000)*1,("var_ncap"=[1]OUT_SyntheticFuels!$B$4:$B$1000)*1,[1]OUT_SyntheticFuels!H$4:H$1000)</f>
        <v>3.8923052237943097E-5</v>
      </c>
      <c r="J2329" s="7" cm="1">
        <f t="array" ref="J2329">SUMPRODUCT(("SUP_MNRBIO"=[2]OUT_SyntheticFuels!$C$4:$C$1000)*1,("var_ncap"=[2]OUT_SyntheticFuels!$B$4:$B$1000)*1,[2]OUT_SyntheticFuels!I$4:I$1000)</f>
        <v>1.2315385033550101E-5</v>
      </c>
      <c r="K2329" s="7" cm="1">
        <f t="array" ref="K2329">SUMPRODUCT(("SUP_MNRBIO"=[2]OUT_SyntheticFuels!$C$4:$C$1000)*1,("var_ncap"=[2]OUT_SyntheticFuels!$B$4:$B$1000)*1,[2]OUT_SyntheticFuels!J$4:J$1000)</f>
        <v>0.149500293314317</v>
      </c>
      <c r="L2329" s="7" cm="1">
        <f t="array" ref="L2329">SUMPRODUCT(("SUP_MNRBIO"=[2]OUT_SyntheticFuels!$C$4:$C$1000)*1,("var_ncap"=[2]OUT_SyntheticFuels!$B$4:$B$1000)*1,[2]OUT_SyntheticFuels!K$4:K$1000)</f>
        <v>8.0288148382150898E-2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4.2345694322355604E-3</v>
      </c>
      <c r="G2330" s="7" cm="1">
        <f t="array" ref="G2330">SUMPRODUCT(("SUP_WSTBIO"=[1]OUT_SyntheticFuels!$C$4:$C$1000)*1,("var_ncap"=[1]OUT_SyntheticFuels!$B$4:$B$1000)*1,[1]OUT_SyntheticFuels!F$4:F$1000)</f>
        <v>2.8718115930272198E-2</v>
      </c>
      <c r="H2330" s="7" cm="1">
        <f t="array" ref="H2330">SUMPRODUCT(("SUP_WSTBIO"=[1]OUT_SyntheticFuels!$C$4:$C$1000)*1,("var_ncap"=[1]OUT_SyntheticFuels!$B$4:$B$1000)*1,[1]OUT_SyntheticFuels!G$4:G$1000)</f>
        <v>1.7068234364491501E-5</v>
      </c>
      <c r="I2330" s="7" cm="1">
        <f t="array" ref="I2330">SUMPRODUCT(("SUP_WSTBIO"=[1]OUT_SyntheticFuels!$C$4:$C$1000)*1,("var_ncap"=[1]OUT_SyntheticFuels!$B$4:$B$1000)*1,[1]OUT_SyntheticFuels!H$4:H$1000)</f>
        <v>9.3584151915205499E-2</v>
      </c>
      <c r="J2330" s="7" cm="1">
        <f t="array" ref="J2330">SUMPRODUCT(("SUP_WSTBIO"=[2]OUT_SyntheticFuels!$C$4:$C$1000)*1,("var_ncap"=[2]OUT_SyntheticFuels!$B$4:$B$1000)*1,[2]OUT_SyntheticFuels!I$4:I$1000)</f>
        <v>0.14566090026622899</v>
      </c>
      <c r="K2330" s="7" cm="1">
        <f t="array" ref="K2330">SUMPRODUCT(("SUP_WSTBIO"=[2]OUT_SyntheticFuels!$C$4:$C$1000)*1,("var_ncap"=[2]OUT_SyntheticFuels!$B$4:$B$1000)*1,[2]OUT_SyntheticFuels!J$4:J$1000)</f>
        <v>6.04567252462248E-2</v>
      </c>
      <c r="L2330" s="7" cm="1">
        <f t="array" ref="L2330">SUMPRODUCT(("SUP_WSTBIO"=[2]OUT_SyntheticFuels!$C$4:$C$1000)*1,("var_ncap"=[2]OUT_SyntheticFuels!$B$4:$B$1000)*1,[2]OUT_SyntheticFuels!K$4:K$1000)</f>
        <v>0.17020166836293299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3.73385500079203E-3</v>
      </c>
      <c r="L2332" s="7" cm="1">
        <f t="array" ref="L2332">SUMPRODUCT(("SUP_WSTHTGBIO"=[2]OUT_SyntheticFuels!$C$4:$C$1000)*1,("var_ncap"=[2]OUT_SyntheticFuels!$B$4:$B$1000)*1,[2]OUT_SyntheticFuels!K$4:K$1000)</f>
        <v>6.3489891692633603E-4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1.6210554757487498E-5</v>
      </c>
      <c r="G2334" s="7" cm="1">
        <f t="array" ref="G2334">SUMPRODUCT(("SUP_WODBIO"=[1]OUT_SyntheticFuels!$C$4:$C$1000)*1,("var_ncap"=[1]OUT_SyntheticFuels!$B$4:$B$1000)*1,[1]OUT_SyntheticFuels!F$4:F$1000)</f>
        <v>6.2400521432721696E-4</v>
      </c>
      <c r="H2334" s="7" cm="1">
        <f t="array" ref="H2334">SUMPRODUCT(("SUP_WODBIO"=[1]OUT_SyntheticFuels!$C$4:$C$1000)*1,("var_ncap"=[1]OUT_SyntheticFuels!$B$4:$B$1000)*1,[1]OUT_SyntheticFuels!G$4:G$1000)</f>
        <v>2.9688482860222198E-5</v>
      </c>
      <c r="I2334" s="7" cm="1">
        <f t="array" ref="I2334">SUMPRODUCT(("SUP_WODBIO"=[1]OUT_SyntheticFuels!$C$4:$C$1000)*1,("var_ncap"=[1]OUT_SyntheticFuels!$B$4:$B$1000)*1,[1]OUT_SyntheticFuels!H$4:H$1000)</f>
        <v>1.06869260853491E-5</v>
      </c>
      <c r="J2334" s="7" cm="1">
        <f t="array" ref="J2334">SUMPRODUCT(("SUP_WODBIO"=[2]OUT_SyntheticFuels!$C$4:$C$1000)*1,("var_ncap"=[2]OUT_SyntheticFuels!$B$4:$B$1000)*1,[2]OUT_SyntheticFuels!I$4:I$1000)</f>
        <v>2.60276317212844E-5</v>
      </c>
      <c r="K2334" s="7" cm="1">
        <f t="array" ref="K2334">SUMPRODUCT(("SUP_WODBIO"=[2]OUT_SyntheticFuels!$C$4:$C$1000)*1,("var_ncap"=[2]OUT_SyntheticFuels!$B$4:$B$1000)*1,[2]OUT_SyntheticFuels!J$4:J$1000)</f>
        <v>8.4183613715504202E-2</v>
      </c>
      <c r="L2334" s="7" cm="1">
        <f t="array" ref="L2334">SUMPRODUCT(("SUP_WODBIO"=[2]OUT_SyntheticFuels!$C$4:$C$1000)*1,("var_ncap"=[2]OUT_SyntheticFuels!$B$4:$B$1000)*1,[2]OUT_SyntheticFuels!K$4:K$1000)</f>
        <v>3.9964460003504003E-5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1.55135122727915E-2</v>
      </c>
      <c r="G2336" s="7" cm="1">
        <f t="array" ref="G2336">SUMPRODUCT(("SUP_BIONGA"=[1]OUT_SyntheticFuels!$C$4:$C$1000)*1,("var_ncap"=[1]OUT_SyntheticFuels!$B$4:$B$1000)*1,[1]OUT_SyntheticFuels!F$4:F$1000)</f>
        <v>9.2654934134051806E-2</v>
      </c>
      <c r="H2336" s="7" cm="1">
        <f t="array" ref="H2336">SUMPRODUCT(("SUP_BIONGA"=[1]OUT_SyntheticFuels!$C$4:$C$1000)*1,("var_ncap"=[1]OUT_SyntheticFuels!$B$4:$B$1000)*1,[1]OUT_SyntheticFuels!G$4:G$1000)</f>
        <v>1.7814719694600799E-5</v>
      </c>
      <c r="I2336" s="7" cm="1">
        <f t="array" ref="I2336">SUMPRODUCT(("SUP_BIONGA"=[1]OUT_SyntheticFuels!$C$4:$C$1000)*1,("var_ncap"=[1]OUT_SyntheticFuels!$B$4:$B$1000)*1,[1]OUT_SyntheticFuels!H$4:H$1000)</f>
        <v>1.92791468681406E-3</v>
      </c>
      <c r="J2336" s="7" cm="1">
        <f t="array" ref="J2336">SUMPRODUCT(("SUP_BIONGA"=[2]OUT_SyntheticFuels!$C$4:$C$1000)*1,("var_ncap"=[2]OUT_SyntheticFuels!$B$4:$B$1000)*1,[2]OUT_SyntheticFuels!I$4:I$1000)</f>
        <v>1.8680230037992799E-2</v>
      </c>
      <c r="K2336" s="7" cm="1">
        <f t="array" ref="K2336">SUMPRODUCT(("SUP_BIONGA"=[2]OUT_SyntheticFuels!$C$4:$C$1000)*1,("var_ncap"=[2]OUT_SyntheticFuels!$B$4:$B$1000)*1,[2]OUT_SyntheticFuels!J$4:J$1000)</f>
        <v>0.202809148169806</v>
      </c>
      <c r="L2336" s="7" cm="1">
        <f t="array" ref="L2336">SUMPRODUCT(("SUP_BIONGA"=[2]OUT_SyntheticFuels!$C$4:$C$1000)*1,("var_ncap"=[2]OUT_SyntheticFuels!$B$4:$B$1000)*1,[2]OUT_SyntheticFuels!K$4:K$1000)</f>
        <v>8.6858041798737906E-2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0.164056371354176</v>
      </c>
      <c r="G2337" s="7" cm="1">
        <f t="array" ref="G2337">SUMPRODUCT(("CT_CWODPLT"=[1]OUT_SyntheticFuels!$C$4:$C$1000)*1,("var_ncap"=[1]OUT_SyntheticFuels!$B$4:$B$1000)*1,[1]OUT_SyntheticFuels!F$4:F$1000)</f>
        <v>4.1231146890597301E-2</v>
      </c>
      <c r="H2337" s="7" cm="1">
        <f t="array" ref="H2337">SUMPRODUCT(("CT_CWODPLT"=[1]OUT_SyntheticFuels!$C$4:$C$1000)*1,("var_ncap"=[1]OUT_SyntheticFuels!$B$4:$B$1000)*1,[1]OUT_SyntheticFuels!G$4:G$1000)</f>
        <v>2.6291447664021801E-5</v>
      </c>
      <c r="I2337" s="7" cm="1">
        <f t="array" ref="I2337">SUMPRODUCT(("CT_CWODPLT"=[1]OUT_SyntheticFuels!$C$4:$C$1000)*1,("var_ncap"=[1]OUT_SyntheticFuels!$B$4:$B$1000)*1,[1]OUT_SyntheticFuels!H$4:H$1000)</f>
        <v>2.9887101404790401E-5</v>
      </c>
      <c r="J2337" s="7" cm="1">
        <f t="array" ref="J2337">SUMPRODUCT(("CT_CWODPLT"=[2]OUT_SyntheticFuels!$C$4:$C$1000)*1,("var_ncap"=[2]OUT_SyntheticFuels!$B$4:$B$1000)*1,[2]OUT_SyntheticFuels!I$4:I$1000)</f>
        <v>1.2580525902469899E-5</v>
      </c>
      <c r="K2337" s="7" cm="1">
        <f t="array" ref="K2337">SUMPRODUCT(("CT_CWODPLT"=[2]OUT_SyntheticFuels!$C$4:$C$1000)*1,("var_ncap"=[2]OUT_SyntheticFuels!$B$4:$B$1000)*1,[2]OUT_SyntheticFuels!J$4:J$1000)</f>
        <v>8.2501419502161805E-2</v>
      </c>
      <c r="L2337" s="7" cm="1">
        <f t="array" ref="L2337">SUMPRODUCT(("CT_CWODPLT"=[2]OUT_SyntheticFuels!$C$4:$C$1000)*1,("var_ncap"=[2]OUT_SyntheticFuels!$B$4:$B$1000)*1,[2]OUT_SyntheticFuels!K$4:K$1000)</f>
        <v>4.5583601904101101E-2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1.4756301969204599E-5</v>
      </c>
      <c r="J2338" s="7" cm="1">
        <f t="array" ref="J2338">SUMPRODUCT(("SUP_H2NGA"=[2]OUT_SyntheticFuels!$C$4:$C$1000)*1,("var_ncap"=[2]OUT_SyntheticFuels!$B$4:$B$1000)*1,[2]OUT_SyntheticFuels!I$4:I$1000)</f>
        <v>4.8532416463454404E-6</v>
      </c>
      <c r="K2338" s="7" cm="1">
        <f t="array" ref="K2338">SUMPRODUCT(("SUP_H2NGA"=[2]OUT_SyntheticFuels!$C$4:$C$1000)*1,("var_ncap"=[2]OUT_SyntheticFuels!$B$4:$B$1000)*1,[2]OUT_SyntheticFuels!J$4:J$1000)</f>
        <v>1.7619151967065201</v>
      </c>
      <c r="L2338" s="7" cm="1">
        <f t="array" ref="L2338">SUMPRODUCT(("SUP_H2NGA"=[2]OUT_SyntheticFuels!$C$4:$C$1000)*1,("var_ncap"=[2]OUT_SyntheticFuels!$B$4:$B$1000)*1,[2]OUT_SyntheticFuels!K$4:K$1000)</f>
        <v>0.497896150272575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3.63733123604139E-5</v>
      </c>
      <c r="J2339" s="7" cm="1">
        <f t="array" ref="J2339">SUMPRODUCT(("SUP_H2DSL"=[2]OUT_SyntheticFuels!$C$4:$C$1000)*1,("var_ncap"=[2]OUT_SyntheticFuels!$B$4:$B$1000)*1,[2]OUT_SyntheticFuels!I$4:I$1000)</f>
        <v>7.3694892983924001E-6</v>
      </c>
      <c r="K2339" s="7" cm="1">
        <f t="array" ref="K2339">SUMPRODUCT(("SUP_H2DSL"=[2]OUT_SyntheticFuels!$C$4:$C$1000)*1,("var_ncap"=[2]OUT_SyntheticFuels!$B$4:$B$1000)*1,[2]OUT_SyntheticFuels!J$4:J$1000)</f>
        <v>1.88506888112799E-3</v>
      </c>
      <c r="L2339" s="7" cm="1">
        <f t="array" ref="L2339">SUMPRODUCT(("SUP_H2DSL"=[2]OUT_SyntheticFuels!$C$4:$C$1000)*1,("var_ncap"=[2]OUT_SyntheticFuels!$B$4:$B$1000)*1,[2]OUT_SyntheticFuels!K$4:K$1000)</f>
        <v>0.16515383913212001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4.2022697970547602E-5</v>
      </c>
      <c r="J2340" s="7" cm="1">
        <f t="array" ref="J2340">SUMPRODUCT(("SUP_H2GSL"=[2]OUT_SyntheticFuels!$C$4:$C$1000)*1,("var_ncap"=[2]OUT_SyntheticFuels!$B$4:$B$1000)*1,[2]OUT_SyntheticFuels!I$4:I$1000)</f>
        <v>8.8098547803895801E-6</v>
      </c>
      <c r="K2340" s="7" cm="1">
        <f t="array" ref="K2340">SUMPRODUCT(("SUP_H2GSL"=[2]OUT_SyntheticFuels!$C$4:$C$1000)*1,("var_ncap"=[2]OUT_SyntheticFuels!$B$4:$B$1000)*1,[2]OUT_SyntheticFuels!J$4:J$1000)</f>
        <v>9.7269658561137298E-2</v>
      </c>
      <c r="L2340" s="7" cm="1">
        <f t="array" ref="L2340">SUMPRODUCT(("SUP_H2GSL"=[2]OUT_SyntheticFuels!$C$4:$C$1000)*1,("var_ncap"=[2]OUT_SyntheticFuels!$B$4:$B$1000)*1,[2]OUT_SyntheticFuels!K$4:K$1000)</f>
        <v>2.1664508439665099E-6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717.2675910987108</v>
      </c>
      <c r="D3" s="3">
        <f t="shared" ref="D3:H3" si="0">SUM(D4:D7)</f>
        <v>704.05237718568969</v>
      </c>
      <c r="E3" s="3">
        <f t="shared" si="0"/>
        <v>688.6842960626102</v>
      </c>
      <c r="F3" s="3">
        <f t="shared" si="0"/>
        <v>612.7545775380629</v>
      </c>
      <c r="G3" s="3">
        <f t="shared" si="0"/>
        <v>569.50526256869364</v>
      </c>
      <c r="H3" s="3">
        <f t="shared" si="0"/>
        <v>525.97899828952654</v>
      </c>
    </row>
    <row r="4" spans="2:8" x14ac:dyDescent="0.35">
      <c r="B4" s="25" t="s">
        <v>1727</v>
      </c>
      <c r="C4" s="1">
        <f>SPS2_SOC_Low!F763</f>
        <v>142.22068285386743</v>
      </c>
      <c r="D4" s="1">
        <f>SPS2_SOC_Low!G763</f>
        <v>142.43487060158498</v>
      </c>
      <c r="E4" s="1">
        <f>SPS2_SOC_Low!H763</f>
        <v>147.51305415580941</v>
      </c>
      <c r="F4" s="1">
        <f>SPS2_SOC_Low!I763</f>
        <v>148.41977227486933</v>
      </c>
      <c r="G4" s="1">
        <f>SPS2_SOC_Low!J763</f>
        <v>149.88995138253165</v>
      </c>
      <c r="H4" s="1">
        <f>SPS2_SOC_Low!K763</f>
        <v>134.68046122888509</v>
      </c>
    </row>
    <row r="5" spans="2:8" x14ac:dyDescent="0.35">
      <c r="B5" s="25" t="s">
        <v>1728</v>
      </c>
      <c r="C5" s="1">
        <f>SPS2_SOC_Low!F882</f>
        <v>140.10259811175644</v>
      </c>
      <c r="D5" s="1">
        <f>SPS2_SOC_Low!G882</f>
        <v>136.76646895044979</v>
      </c>
      <c r="E5" s="1">
        <f>SPS2_SOC_Low!H882</f>
        <v>132.76306201141824</v>
      </c>
      <c r="F5" s="1">
        <f>SPS2_SOC_Low!I882</f>
        <v>121.47084718927252</v>
      </c>
      <c r="G5" s="1">
        <f>SPS2_SOC_Low!J882</f>
        <v>115.83105364465091</v>
      </c>
      <c r="H5" s="1">
        <f>SPS2_SOC_Low!K882</f>
        <v>110.11011079900432</v>
      </c>
    </row>
    <row r="6" spans="2:8" x14ac:dyDescent="0.35">
      <c r="B6" s="25" t="s">
        <v>1729</v>
      </c>
      <c r="C6" s="1">
        <f>SPS2_SOC_Low!F972</f>
        <v>219.63038989360444</v>
      </c>
      <c r="D6" s="1">
        <f>SPS2_SOC_Low!G972</f>
        <v>218.95224995715466</v>
      </c>
      <c r="E6" s="1">
        <f>SPS2_SOC_Low!H972</f>
        <v>219.68116153295054</v>
      </c>
      <c r="F6" s="1">
        <f>SPS2_SOC_Low!I972</f>
        <v>200.42837558919013</v>
      </c>
      <c r="G6" s="1">
        <f>SPS2_SOC_Low!J972</f>
        <v>192.79304809798322</v>
      </c>
      <c r="H6" s="1">
        <f>SPS2_SOC_Low!K972</f>
        <v>184.96511120023058</v>
      </c>
    </row>
    <row r="7" spans="2:8" x14ac:dyDescent="0.35">
      <c r="B7" s="25" t="s">
        <v>1730</v>
      </c>
      <c r="C7" s="1">
        <f>SPS2_SOC_Low!F1136+SPS2_SOC_Low!F1315+SPS2_SOC_Low!F1399+SPS2_SOC_Low!F1483+SPS2_SOC_Low!F1490+SPS2_SOC_Low!F1497+SPS2_SOC_Low!F1546+SPS2_SOC_Low!F1593+SPS2_SOC_Low!F1640</f>
        <v>215.31392023948246</v>
      </c>
      <c r="D7" s="1">
        <f>SPS2_SOC_Low!G1136+SPS2_SOC_Low!G1315+SPS2_SOC_Low!G1399+SPS2_SOC_Low!G1483+SPS2_SOC_Low!G1490+SPS2_SOC_Low!G1497+SPS2_SOC_Low!G1546+SPS2_SOC_Low!G1593+SPS2_SOC_Low!G1640</f>
        <v>205.89878767650029</v>
      </c>
      <c r="E7" s="1">
        <f>SPS2_SOC_Low!H1136+SPS2_SOC_Low!H1315+SPS2_SOC_Low!H1399+SPS2_SOC_Low!H1483+SPS2_SOC_Low!H1490+SPS2_SOC_Low!H1497+SPS2_SOC_Low!H1546+SPS2_SOC_Low!H1593+SPS2_SOC_Low!H1640</f>
        <v>188.72701836243198</v>
      </c>
      <c r="F7" s="1">
        <f>SPS2_SOC_Low!I1136+SPS2_SOC_Low!I1315+SPS2_SOC_Low!I1399+SPS2_SOC_Low!I1483+SPS2_SOC_Low!I1490+SPS2_SOC_Low!I1497+SPS2_SOC_Low!I1546+SPS2_SOC_Low!I1593+SPS2_SOC_Low!I1640</f>
        <v>142.43558248473093</v>
      </c>
      <c r="G7" s="1">
        <f>SPS2_SOC_Low!J1136+SPS2_SOC_Low!J1315+SPS2_SOC_Low!J1399+SPS2_SOC_Low!J1483+SPS2_SOC_Low!J1490+SPS2_SOC_Low!J1497+SPS2_SOC_Low!J1546+SPS2_SOC_Low!J1593+SPS2_SOC_Low!J1640</f>
        <v>110.99120944352782</v>
      </c>
      <c r="H7" s="1">
        <f>SPS2_SOC_Low!K1136+SPS2_SOC_Low!K1315+SPS2_SOC_Low!K1399+SPS2_SOC_Low!K1483+SPS2_SOC_Low!K1490+SPS2_SOC_Low!K1497+SPS2_SOC_Low!K1546+SPS2_SOC_Low!K1593+SPS2_SOC_Low!K1640</f>
        <v>96.22331506140651</v>
      </c>
    </row>
    <row r="8" spans="2:8" x14ac:dyDescent="0.35">
      <c r="B8" s="2" t="s">
        <v>1735</v>
      </c>
      <c r="C8" s="3">
        <f>SUM(C9:C12)</f>
        <v>515.11896904073433</v>
      </c>
      <c r="D8" s="3">
        <f t="shared" ref="D8:H8" si="1">SUM(D9:D12)</f>
        <v>504.6128741068365</v>
      </c>
      <c r="E8" s="3">
        <f t="shared" si="1"/>
        <v>515.96567653241584</v>
      </c>
      <c r="F8" s="3">
        <f t="shared" si="1"/>
        <v>576.5063256427934</v>
      </c>
      <c r="G8" s="3">
        <f t="shared" si="1"/>
        <v>514.45964569695548</v>
      </c>
      <c r="H8" s="3">
        <f t="shared" si="1"/>
        <v>570.69021769197207</v>
      </c>
    </row>
    <row r="9" spans="2:8" x14ac:dyDescent="0.35">
      <c r="B9" s="25" t="s">
        <v>1732</v>
      </c>
      <c r="C9" s="1">
        <f>SPS2_SOC_Low!F291+SPS2_SOC_Low!F409</f>
        <v>495.64127737409598</v>
      </c>
      <c r="D9" s="1">
        <f>SPS2_SOC_Low!G291+SPS2_SOC_Low!G409</f>
        <v>476.27630960831152</v>
      </c>
      <c r="E9" s="1">
        <f>SPS2_SOC_Low!H291+SPS2_SOC_Low!H409</f>
        <v>483.96899197505763</v>
      </c>
      <c r="F9" s="1">
        <f>SPS2_SOC_Low!I291+SPS2_SOC_Low!I409</f>
        <v>544.45136584650788</v>
      </c>
      <c r="G9" s="1">
        <f>SPS2_SOC_Low!J291+SPS2_SOC_Low!J409</f>
        <v>475.35089950435224</v>
      </c>
      <c r="H9" s="1">
        <f>SPS2_SOC_Low!K291+SPS2_SOC_Low!K409</f>
        <v>494.14142839367838</v>
      </c>
    </row>
    <row r="10" spans="2:8" x14ac:dyDescent="0.35">
      <c r="B10" s="25" t="s">
        <v>1733</v>
      </c>
      <c r="C10" s="1">
        <f>SPS2_SOC_Low!F590+SPS2_SOC_Low!F604+SPS2_SOC_Low!F644</f>
        <v>19.470356694638745</v>
      </c>
      <c r="D10" s="1">
        <f>SPS2_SOC_Low!G590+SPS2_SOC_Low!G604+SPS2_SOC_Low!G644</f>
        <v>28.307015976839406</v>
      </c>
      <c r="E10" s="1">
        <f>SPS2_SOC_Low!H590+SPS2_SOC_Low!H604+SPS2_SOC_Low!H644</f>
        <v>31.966590453546335</v>
      </c>
      <c r="F10" s="1">
        <f>SPS2_SOC_Low!I590+SPS2_SOC_Low!I604+SPS2_SOC_Low!I644</f>
        <v>31.916279769575141</v>
      </c>
      <c r="G10" s="1">
        <f>SPS2_SOC_Low!J590+SPS2_SOC_Low!J604+SPS2_SOC_Low!J644</f>
        <v>25.736279915585431</v>
      </c>
      <c r="H10" s="1">
        <f>SPS2_SOC_Low!K590+SPS2_SOC_Low!K604+SPS2_SOC_Low!K644</f>
        <v>34.972666972315906</v>
      </c>
    </row>
    <row r="11" spans="2:8" x14ac:dyDescent="0.35">
      <c r="B11" s="25" t="s">
        <v>1731</v>
      </c>
      <c r="C11" s="1">
        <f>SPS2_SOC_Low!F679</f>
        <v>7.3349719996056804E-3</v>
      </c>
      <c r="D11" s="1">
        <f>SPS2_SOC_Low!G679</f>
        <v>2.9548521685575584E-2</v>
      </c>
      <c r="E11" s="1">
        <f>SPS2_SOC_Low!H679</f>
        <v>3.0094103811861984E-2</v>
      </c>
      <c r="F11" s="1">
        <f>SPS2_SOC_Low!I679</f>
        <v>0.13868002671038823</v>
      </c>
      <c r="G11" s="1">
        <f>SPS2_SOC_Low!J679</f>
        <v>13.372466277017793</v>
      </c>
      <c r="H11" s="1">
        <f>SPS2_SOC_Low!K679</f>
        <v>41.576045645123862</v>
      </c>
    </row>
    <row r="12" spans="2:8" x14ac:dyDescent="0.35">
      <c r="B12" s="25" t="s">
        <v>1734</v>
      </c>
      <c r="C12" s="1">
        <f>SPS2_SOC_Low!F1707</f>
        <v>0</v>
      </c>
      <c r="D12" s="1">
        <f>SPS2_SOC_Low!G1707</f>
        <v>0</v>
      </c>
      <c r="E12" s="1">
        <f>SPS2_SOC_Low!H1707</f>
        <v>0</v>
      </c>
      <c r="F12" s="1">
        <f>SPS2_SOC_Low!I1707</f>
        <v>0</v>
      </c>
      <c r="G12" s="1">
        <f>SPS2_SOC_Low!J1707</f>
        <v>0</v>
      </c>
      <c r="H12" s="1">
        <f>SPS2_SOC_Low!K1707</f>
        <v>7.6680853891536246E-5</v>
      </c>
    </row>
    <row r="13" spans="2:8" x14ac:dyDescent="0.35">
      <c r="B13" s="2" t="s">
        <v>1736</v>
      </c>
      <c r="C13" s="3">
        <f>SPS2_SOC_Low!F2+SPS2_SOC_Low!F20-SPS2_SOC_Low!F57</f>
        <v>966.1586105473898</v>
      </c>
      <c r="D13" s="3">
        <f>SPS2_SOC_Low!G2+SPS2_SOC_Low!G20-SPS2_SOC_Low!G57</f>
        <v>964.34809762371572</v>
      </c>
      <c r="E13" s="3">
        <f>SPS2_SOC_Low!H2+SPS2_SOC_Low!H20-SPS2_SOC_Low!H57</f>
        <v>916.44483351942233</v>
      </c>
      <c r="F13" s="3">
        <f>SPS2_SOC_Low!I2+SPS2_SOC_Low!I20-SPS2_SOC_Low!I57</f>
        <v>892.21411499393776</v>
      </c>
      <c r="G13" s="3">
        <f>SPS2_SOC_Low!J2+SPS2_SOC_Low!J20-SPS2_SOC_Low!J57</f>
        <v>777.0517222200757</v>
      </c>
      <c r="H13" s="3">
        <f>SPS2_SOC_Low!K2+SPS2_SOC_Low!K20-SPS2_SOC_Low!K57</f>
        <v>714.9569481425591</v>
      </c>
    </row>
    <row r="14" spans="2:8" x14ac:dyDescent="0.35">
      <c r="B14" s="25" t="s">
        <v>1737</v>
      </c>
      <c r="C14" s="1">
        <f>SPS2_SOC_Low!F2</f>
        <v>301.55156848449508</v>
      </c>
      <c r="D14" s="1">
        <f>SPS2_SOC_Low!G2</f>
        <v>298.76897526775628</v>
      </c>
      <c r="E14" s="1">
        <f>SPS2_SOC_Low!H2</f>
        <v>338.20472514871244</v>
      </c>
      <c r="F14" s="1">
        <f>SPS2_SOC_Low!I2</f>
        <v>444.85985993495387</v>
      </c>
      <c r="G14" s="1">
        <f>SPS2_SOC_Low!J2</f>
        <v>425.43101752967345</v>
      </c>
      <c r="H14" s="1">
        <f>SPS2_SOC_Low!K2</f>
        <v>531.32847250600889</v>
      </c>
    </row>
    <row r="15" spans="2:8" x14ac:dyDescent="0.35">
      <c r="B15" s="25" t="s">
        <v>19</v>
      </c>
      <c r="C15" s="1">
        <f>SPS2_SOC_Low!F20</f>
        <v>781.77729874866941</v>
      </c>
      <c r="D15" s="1">
        <f>SPS2_SOC_Low!G20</f>
        <v>700.48164129084591</v>
      </c>
      <c r="E15" s="1">
        <f>SPS2_SOC_Low!H20</f>
        <v>650.19265407962757</v>
      </c>
      <c r="F15" s="1">
        <f>SPS2_SOC_Low!I20</f>
        <v>500.05516870101371</v>
      </c>
      <c r="G15" s="1">
        <f>SPS2_SOC_Low!J20</f>
        <v>387.7114853316973</v>
      </c>
      <c r="H15" s="1">
        <f>SPS2_SOC_Low!K20</f>
        <v>211.04943731938678</v>
      </c>
    </row>
    <row r="16" spans="2:8" x14ac:dyDescent="0.35">
      <c r="B16" s="25" t="s">
        <v>24</v>
      </c>
      <c r="C16" s="1">
        <f>SPS2_SOC_Low!F57</f>
        <v>117.17025668577485</v>
      </c>
      <c r="D16" s="1">
        <f>SPS2_SOC_Low!G57</f>
        <v>34.90251893488643</v>
      </c>
      <c r="E16" s="1">
        <f>SPS2_SOC_Low!H57</f>
        <v>71.952545708917654</v>
      </c>
      <c r="F16" s="1">
        <f>SPS2_SOC_Low!I57</f>
        <v>52.700913642029796</v>
      </c>
      <c r="G16" s="1">
        <f>SPS2_SOC_Low!J57</f>
        <v>36.090780641295012</v>
      </c>
      <c r="H16" s="1">
        <f>SPS2_SOC_Low!K57</f>
        <v>27.42096168283663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1D86201C-DA97-4C81-B752-1768AF11CBBE}"/>
</file>

<file path=customXml/itemProps2.xml><?xml version="1.0" encoding="utf-8"?>
<ds:datastoreItem xmlns:ds="http://schemas.openxmlformats.org/officeDocument/2006/customXml" ds:itemID="{CBE1613C-71D4-4CC3-AE5B-2926C2E93E51}"/>
</file>

<file path=customXml/itemProps3.xml><?xml version="1.0" encoding="utf-8"?>
<ds:datastoreItem xmlns:ds="http://schemas.openxmlformats.org/officeDocument/2006/customXml" ds:itemID="{4783B7C0-2D6F-4AA6-AF25-5DF9E78DBAA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SPS2_SOC_Low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